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ml.chartshapes+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C:\Users\MFarges\Desktop\AC\Micmac\"/>
    </mc:Choice>
  </mc:AlternateContent>
  <xr:revisionPtr revIDLastSave="0" documentId="13_ncr:1_{B7AFA6FB-44CB-46C2-9E9A-4D645A2FA244}" xr6:coauthVersionLast="45" xr6:coauthVersionMax="45" xr10:uidLastSave="{00000000-0000-0000-0000-000000000000}"/>
  <bookViews>
    <workbookView xWindow="-120" yWindow="-120" windowWidth="20730" windowHeight="11160" tabRatio="557" xr2:uid="{00000000-000D-0000-FFFF-FFFF00000000}"/>
  </bookViews>
  <sheets>
    <sheet name="Accueil" sheetId="7" r:id="rId1"/>
    <sheet name="Mode d'emploi" sheetId="1" r:id="rId2"/>
    <sheet name="Saisie" sheetId="8" r:id="rId3"/>
    <sheet name="Résultats" sheetId="3" r:id="rId4"/>
    <sheet name="Simulation prix carbone" sheetId="4" r:id="rId5"/>
    <sheet name="FAQ" sheetId="6" r:id="rId6"/>
    <sheet name="Calcul Consommation Energie" sheetId="10" r:id="rId7"/>
    <sheet name="Sources des données" sheetId="5" r:id="rId8"/>
    <sheet name="Version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3" l="1"/>
  <c r="D54" i="3" l="1"/>
  <c r="C88" i="3"/>
  <c r="N85" i="3"/>
  <c r="B31" i="3" l="1"/>
  <c r="D65" i="3" l="1"/>
  <c r="D29" i="4"/>
  <c r="H29" i="8" l="1"/>
  <c r="G29" i="8"/>
  <c r="B83" i="5" l="1"/>
  <c r="C27" i="5" l="1"/>
  <c r="D45" i="8" s="1"/>
  <c r="H45" i="8" s="1"/>
  <c r="G45" i="8" s="1"/>
  <c r="D37" i="8"/>
  <c r="H37" i="8" s="1"/>
  <c r="G37" i="8" s="1"/>
  <c r="B21" i="5"/>
  <c r="D184" i="3"/>
  <c r="D179" i="3"/>
  <c r="D119" i="3"/>
  <c r="D147" i="3"/>
  <c r="D158" i="3"/>
  <c r="D42" i="8"/>
  <c r="H42" i="8" s="1"/>
  <c r="G42" i="8" s="1"/>
  <c r="B22" i="5"/>
  <c r="C72" i="5"/>
  <c r="B72" i="5" s="1"/>
  <c r="C71" i="5"/>
  <c r="B70" i="5"/>
  <c r="D134" i="8"/>
  <c r="D155" i="3" l="1"/>
  <c r="C155" i="3" s="1"/>
  <c r="B71" i="5"/>
  <c r="C12" i="5"/>
  <c r="B10" i="4" l="1"/>
  <c r="C24" i="4" l="1"/>
  <c r="C35" i="3" l="1"/>
  <c r="C9" i="5"/>
  <c r="B9" i="5" s="1"/>
  <c r="C69" i="5"/>
  <c r="D82" i="8"/>
  <c r="H82" i="8" s="1"/>
  <c r="E82" i="8"/>
  <c r="B56" i="5"/>
  <c r="B54" i="5"/>
  <c r="C53" i="5"/>
  <c r="B53" i="5" s="1"/>
  <c r="C49" i="5"/>
  <c r="B49" i="5" s="1"/>
  <c r="B48" i="5"/>
  <c r="D91" i="8"/>
  <c r="H91" i="8" s="1"/>
  <c r="G91" i="8" s="1"/>
  <c r="E91" i="8"/>
  <c r="D88" i="8"/>
  <c r="H88" i="8" s="1"/>
  <c r="G88" i="8" s="1"/>
  <c r="E88" i="8"/>
  <c r="D81" i="8"/>
  <c r="H81" i="8" s="1"/>
  <c r="E81" i="8"/>
  <c r="D83" i="8"/>
  <c r="H83" i="8" s="1"/>
  <c r="E83" i="8"/>
  <c r="D77" i="8"/>
  <c r="E77" i="8"/>
  <c r="D78" i="8"/>
  <c r="E78" i="8"/>
  <c r="E90" i="8"/>
  <c r="D90" i="8"/>
  <c r="H90" i="8" s="1"/>
  <c r="G90" i="8" s="1"/>
  <c r="E87" i="8"/>
  <c r="E85" i="8"/>
  <c r="D85" i="8"/>
  <c r="H85" i="8" s="1"/>
  <c r="G85" i="8" s="1"/>
  <c r="E80" i="8"/>
  <c r="D80" i="8"/>
  <c r="H80" i="8" s="1"/>
  <c r="E76" i="8"/>
  <c r="E72" i="8"/>
  <c r="E73" i="8"/>
  <c r="E74" i="8"/>
  <c r="E71" i="8"/>
  <c r="D71" i="8"/>
  <c r="H71" i="8" s="1"/>
  <c r="D72" i="8"/>
  <c r="H72" i="8" s="1"/>
  <c r="G72" i="8" s="1"/>
  <c r="D73" i="8"/>
  <c r="H73" i="8" s="1"/>
  <c r="G73" i="8" s="1"/>
  <c r="D74" i="8"/>
  <c r="H74" i="8" s="1"/>
  <c r="G74" i="8" s="1"/>
  <c r="H64" i="8"/>
  <c r="G64" i="8" s="1"/>
  <c r="C58" i="5"/>
  <c r="D93" i="8" s="1"/>
  <c r="D62" i="8"/>
  <c r="H62" i="8" s="1"/>
  <c r="G62" i="8" s="1"/>
  <c r="D61" i="8"/>
  <c r="H61" i="8" s="1"/>
  <c r="D64" i="8" l="1"/>
  <c r="D87" i="8"/>
  <c r="H87" i="8" s="1"/>
  <c r="G87" i="8" s="1"/>
  <c r="G71" i="8"/>
  <c r="H93" i="8"/>
  <c r="G93" i="8" s="1"/>
  <c r="G83" i="8"/>
  <c r="D135" i="3"/>
  <c r="G81" i="8"/>
  <c r="D133" i="3"/>
  <c r="C73" i="4" s="1"/>
  <c r="D73" i="4" s="1"/>
  <c r="G82" i="8"/>
  <c r="D134" i="3"/>
  <c r="G80" i="8"/>
  <c r="D132" i="3"/>
  <c r="D13" i="8"/>
  <c r="H13" i="8" s="1"/>
  <c r="G13" i="8" s="1"/>
  <c r="C77" i="5"/>
  <c r="C75" i="5"/>
  <c r="D139" i="8" s="1"/>
  <c r="H139" i="8" s="1"/>
  <c r="G139" i="8" s="1"/>
  <c r="D140" i="8"/>
  <c r="H140" i="8" s="1"/>
  <c r="G140" i="8" s="1"/>
  <c r="D145" i="8"/>
  <c r="H145" i="8" s="1"/>
  <c r="G145" i="8" s="1"/>
  <c r="C34" i="5"/>
  <c r="D52" i="8" s="1"/>
  <c r="H52" i="8" s="1"/>
  <c r="G52" i="8" s="1"/>
  <c r="C32" i="5"/>
  <c r="D51" i="8" s="1"/>
  <c r="H51" i="8" s="1"/>
  <c r="C30" i="5"/>
  <c r="D49" i="8" s="1"/>
  <c r="H49" i="8" s="1"/>
  <c r="D44" i="8"/>
  <c r="H44" i="8" s="1"/>
  <c r="B26" i="5"/>
  <c r="C25" i="5"/>
  <c r="D39" i="8" s="1"/>
  <c r="H39" i="8" s="1"/>
  <c r="G39" i="8" s="1"/>
  <c r="D31" i="8"/>
  <c r="H31" i="8"/>
  <c r="G31" i="8" s="1"/>
  <c r="C67" i="5"/>
  <c r="C28" i="5"/>
  <c r="D47" i="8" s="1"/>
  <c r="H47" i="8" s="1"/>
  <c r="G47" i="8" s="1"/>
  <c r="H78" i="8"/>
  <c r="H77" i="8"/>
  <c r="C43" i="5"/>
  <c r="G44" i="8" l="1"/>
  <c r="D48" i="3"/>
  <c r="C29" i="4" s="1"/>
  <c r="C134" i="3"/>
  <c r="B43" i="5"/>
  <c r="D76" i="8"/>
  <c r="H76" i="8" s="1"/>
  <c r="C48" i="3"/>
  <c r="D59" i="8"/>
  <c r="H59" i="8" s="1"/>
  <c r="G59" i="8" s="1"/>
  <c r="D58" i="8"/>
  <c r="H58" i="8" s="1"/>
  <c r="G58" i="8" s="1"/>
  <c r="C112" i="3" s="1"/>
  <c r="D57" i="8"/>
  <c r="H57" i="8" s="1"/>
  <c r="G57" i="8" s="1"/>
  <c r="C111" i="3" s="1"/>
  <c r="B62" i="5"/>
  <c r="B63" i="5"/>
  <c r="B61" i="5"/>
  <c r="C119" i="3"/>
  <c r="D66" i="8"/>
  <c r="H66" i="8" s="1"/>
  <c r="G76" i="8" l="1"/>
  <c r="B59" i="5"/>
  <c r="D35" i="8"/>
  <c r="H35" i="8" s="1"/>
  <c r="G35" i="8" s="1"/>
  <c r="C85" i="3" s="1"/>
  <c r="D85" i="3" s="1"/>
  <c r="C41" i="4" s="1"/>
  <c r="D41" i="4" s="1"/>
  <c r="B24" i="5"/>
  <c r="H134" i="8" l="1"/>
  <c r="G134" i="8" s="1"/>
  <c r="C113" i="3"/>
  <c r="D113" i="3" s="1"/>
  <c r="C54" i="4" s="1"/>
  <c r="D54" i="4" s="1"/>
  <c r="D112" i="3"/>
  <c r="C53" i="4" s="1"/>
  <c r="D53" i="4" s="1"/>
  <c r="D111" i="3"/>
  <c r="C52" i="4" s="1"/>
  <c r="D16" i="8"/>
  <c r="H16" i="8" s="1"/>
  <c r="G16" i="8" s="1"/>
  <c r="D15" i="8"/>
  <c r="H15" i="8" s="1"/>
  <c r="D21" i="8"/>
  <c r="H21" i="8" s="1"/>
  <c r="G21" i="8" s="1"/>
  <c r="D19" i="8"/>
  <c r="H19" i="8" s="1"/>
  <c r="G19" i="8" s="1"/>
  <c r="B16" i="5"/>
  <c r="C17" i="5"/>
  <c r="B17" i="5" s="1"/>
  <c r="B15" i="5"/>
  <c r="D18" i="8"/>
  <c r="H18" i="8" s="1"/>
  <c r="G18" i="8" s="1"/>
  <c r="D24" i="8"/>
  <c r="H24" i="8" s="1"/>
  <c r="G24" i="8" s="1"/>
  <c r="D23" i="8"/>
  <c r="H23" i="8" s="1"/>
  <c r="G23" i="8" s="1"/>
  <c r="B19" i="5"/>
  <c r="B18" i="5"/>
  <c r="D132" i="8"/>
  <c r="H132" i="8" s="1"/>
  <c r="G132" i="8" s="1"/>
  <c r="C156" i="3" s="1"/>
  <c r="D156" i="3" s="1"/>
  <c r="C94" i="4" s="1"/>
  <c r="B68" i="5"/>
  <c r="H130" i="8"/>
  <c r="G130" i="8" s="1"/>
  <c r="C152" i="3" s="1"/>
  <c r="D152" i="3" s="1"/>
  <c r="C91" i="4" s="1"/>
  <c r="D91" i="4" s="1"/>
  <c r="H128" i="8"/>
  <c r="G128" i="8" s="1"/>
  <c r="C154" i="3" s="1"/>
  <c r="D154" i="3" s="1"/>
  <c r="C93" i="4" s="1"/>
  <c r="B67" i="5"/>
  <c r="H125" i="8"/>
  <c r="G125" i="8" s="1"/>
  <c r="H122" i="8"/>
  <c r="G122" i="8" s="1"/>
  <c r="H119" i="8"/>
  <c r="G119" i="8" s="1"/>
  <c r="H116" i="8"/>
  <c r="G116" i="8" s="1"/>
  <c r="H113" i="8"/>
  <c r="G113" i="8" s="1"/>
  <c r="H110" i="8"/>
  <c r="G110" i="8" s="1"/>
  <c r="H107" i="8"/>
  <c r="G107" i="8" s="1"/>
  <c r="H104" i="8"/>
  <c r="G104" i="8" s="1"/>
  <c r="H101" i="8"/>
  <c r="G101" i="8" s="1"/>
  <c r="H98" i="8"/>
  <c r="G98" i="8" s="1"/>
  <c r="G15" i="8" l="1"/>
  <c r="C153" i="3"/>
  <c r="D153" i="3" s="1"/>
  <c r="C92" i="4" s="1"/>
  <c r="D92" i="4" s="1"/>
  <c r="D52" i="4"/>
  <c r="C52" i="3"/>
  <c r="D52" i="3" s="1"/>
  <c r="C33" i="4" s="1"/>
  <c r="D33" i="4" s="1"/>
  <c r="D49" i="3"/>
  <c r="C30" i="4" s="1"/>
  <c r="C151" i="3"/>
  <c r="D20" i="8"/>
  <c r="H20" i="8" s="1"/>
  <c r="G20" i="8" s="1"/>
  <c r="D24" i="10"/>
  <c r="D32" i="10"/>
  <c r="D20" i="10"/>
  <c r="D16" i="10"/>
  <c r="D12" i="10"/>
  <c r="D36" i="10"/>
  <c r="D28" i="10"/>
  <c r="D67" i="3" l="1"/>
  <c r="C53" i="3"/>
  <c r="D53" i="3" s="1"/>
  <c r="C34" i="4" s="1"/>
  <c r="D34" i="4" s="1"/>
  <c r="D30" i="4"/>
  <c r="C86" i="3"/>
  <c r="C84" i="3"/>
  <c r="C83" i="3"/>
  <c r="C89" i="5"/>
  <c r="B89" i="5" s="1"/>
  <c r="C88" i="5"/>
  <c r="B88" i="5" s="1"/>
  <c r="C87" i="5"/>
  <c r="B87" i="5" s="1"/>
  <c r="B86" i="5"/>
  <c r="B85" i="5"/>
  <c r="B84" i="5"/>
  <c r="B81" i="5"/>
  <c r="B77" i="5"/>
  <c r="B75" i="5"/>
  <c r="B69" i="5"/>
  <c r="C66" i="5"/>
  <c r="B66" i="5" s="1"/>
  <c r="B58" i="5"/>
  <c r="B57" i="5"/>
  <c r="B51" i="5"/>
  <c r="B50" i="5"/>
  <c r="B47" i="5"/>
  <c r="B45" i="5"/>
  <c r="B44" i="5"/>
  <c r="B41" i="5"/>
  <c r="B40" i="5"/>
  <c r="B39" i="5"/>
  <c r="B38" i="5"/>
  <c r="B34" i="5"/>
  <c r="B32" i="5"/>
  <c r="B30" i="5"/>
  <c r="B28" i="5"/>
  <c r="B25" i="5"/>
  <c r="B23" i="5"/>
  <c r="B14" i="5"/>
  <c r="B12" i="5"/>
  <c r="B11" i="5"/>
  <c r="B90" i="5" l="1"/>
  <c r="C147" i="3" l="1"/>
  <c r="D92" i="3"/>
  <c r="D55" i="3"/>
  <c r="C183" i="3"/>
  <c r="C106" i="4" s="1"/>
  <c r="C177" i="3"/>
  <c r="C176" i="3"/>
  <c r="C139" i="3"/>
  <c r="C135" i="3"/>
  <c r="C128" i="3"/>
  <c r="C126" i="3"/>
  <c r="C125" i="3"/>
  <c r="C123" i="3"/>
  <c r="C87" i="3"/>
  <c r="D84" i="3"/>
  <c r="C40" i="4" s="1"/>
  <c r="D40" i="4" s="1"/>
  <c r="C51" i="3"/>
  <c r="C50" i="3"/>
  <c r="D50" i="3" s="1"/>
  <c r="C31" i="4" s="1"/>
  <c r="D31" i="4" l="1"/>
  <c r="D51" i="3"/>
  <c r="C140" i="3"/>
  <c r="C141" i="3" s="1"/>
  <c r="D139" i="3"/>
  <c r="C79" i="4" s="1"/>
  <c r="D123" i="3"/>
  <c r="C90" i="3"/>
  <c r="C132" i="3"/>
  <c r="C74" i="4"/>
  <c r="D74" i="4" s="1"/>
  <c r="B34" i="3"/>
  <c r="B19" i="4" s="1"/>
  <c r="C19" i="4" s="1"/>
  <c r="C144" i="3"/>
  <c r="C137" i="3"/>
  <c r="D137" i="3" s="1"/>
  <c r="C77" i="4" s="1"/>
  <c r="C124" i="3"/>
  <c r="D124" i="3" s="1"/>
  <c r="C64" i="4" s="1"/>
  <c r="C142" i="3"/>
  <c r="D177" i="3"/>
  <c r="C100" i="4" s="1"/>
  <c r="D126" i="3"/>
  <c r="C66" i="4" s="1"/>
  <c r="D66" i="4" s="1"/>
  <c r="D125" i="3"/>
  <c r="C65" i="4" s="1"/>
  <c r="C178" i="3"/>
  <c r="C101" i="4" s="1"/>
  <c r="D87" i="3"/>
  <c r="C43" i="4" s="1"/>
  <c r="D43" i="4" s="1"/>
  <c r="D83" i="3"/>
  <c r="C39" i="4" s="1"/>
  <c r="D86" i="3"/>
  <c r="C42" i="4" s="1"/>
  <c r="D42" i="4" s="1"/>
  <c r="D128" i="3"/>
  <c r="C68" i="4" s="1"/>
  <c r="C75" i="4"/>
  <c r="D176" i="3"/>
  <c r="C99" i="4" s="1"/>
  <c r="D99" i="4" s="1"/>
  <c r="C63" i="4" l="1"/>
  <c r="D63" i="4" s="1"/>
  <c r="B29" i="3"/>
  <c r="B14" i="4" s="1"/>
  <c r="C14" i="4" s="1"/>
  <c r="C32" i="4"/>
  <c r="D142" i="3"/>
  <c r="C82" i="4" s="1"/>
  <c r="D82" i="4" s="1"/>
  <c r="C136" i="3"/>
  <c r="C76" i="4" s="1"/>
  <c r="D75" i="4" s="1"/>
  <c r="D140" i="3"/>
  <c r="C80" i="4" s="1"/>
  <c r="D90" i="3"/>
  <c r="C46" i="4" s="1"/>
  <c r="D46" i="4" s="1"/>
  <c r="C72" i="4"/>
  <c r="D72" i="4" s="1"/>
  <c r="D64" i="4"/>
  <c r="C127" i="3"/>
  <c r="D127" i="3" s="1"/>
  <c r="D93" i="4"/>
  <c r="D151" i="3"/>
  <c r="C90" i="4" s="1"/>
  <c r="D90" i="4" s="1"/>
  <c r="D144" i="3"/>
  <c r="C84" i="4" s="1"/>
  <c r="C157" i="3"/>
  <c r="C95" i="4" s="1"/>
  <c r="C138" i="3"/>
  <c r="C78" i="4" s="1"/>
  <c r="D78" i="4" s="1"/>
  <c r="G68" i="4" s="1"/>
  <c r="D68" i="4" s="1"/>
  <c r="D178" i="3"/>
  <c r="B33" i="3" s="1"/>
  <c r="B18" i="4" s="1"/>
  <c r="C18" i="4" s="1"/>
  <c r="D66" i="3"/>
  <c r="D100" i="4"/>
  <c r="D39" i="4"/>
  <c r="C81" i="4"/>
  <c r="D141" i="3"/>
  <c r="D79" i="4"/>
  <c r="D32" i="4" l="1"/>
  <c r="C35" i="4"/>
  <c r="D76" i="4"/>
  <c r="G67" i="4" s="1"/>
  <c r="D136" i="3"/>
  <c r="D157" i="3"/>
  <c r="D138" i="3"/>
  <c r="D77" i="4"/>
  <c r="D80" i="4"/>
  <c r="D81" i="4"/>
  <c r="G69" i="4" s="1"/>
  <c r="D94" i="4"/>
  <c r="D95" i="4"/>
  <c r="D35" i="3" l="1"/>
  <c r="D10" i="3" s="1"/>
  <c r="C10" i="3" s="1"/>
  <c r="B32" i="3"/>
  <c r="B17" i="4" s="1"/>
  <c r="C17" i="4" s="1"/>
  <c r="C67" i="4"/>
  <c r="D67" i="4" s="1"/>
  <c r="G65" i="4" s="1"/>
  <c r="D65" i="4"/>
  <c r="D106" i="4" l="1"/>
  <c r="C90" i="5"/>
  <c r="D101" i="4" l="1"/>
  <c r="C49" i="3"/>
  <c r="C54" i="3" s="1"/>
  <c r="D35" i="4" l="1"/>
  <c r="G66" i="8" l="1"/>
  <c r="C117" i="3" s="1"/>
  <c r="D117" i="3" l="1"/>
  <c r="C56" i="4" s="1"/>
  <c r="D56" i="4" s="1"/>
  <c r="D84" i="4"/>
  <c r="C143" i="3"/>
  <c r="C145" i="3" l="1"/>
  <c r="C85" i="4" s="1"/>
  <c r="D85" i="4" s="1"/>
  <c r="G70" i="4" s="1"/>
  <c r="D143" i="3"/>
  <c r="C83" i="4" s="1"/>
  <c r="D83" i="4" s="1"/>
  <c r="G78" i="8"/>
  <c r="C130" i="3" s="1"/>
  <c r="G77" i="8"/>
  <c r="C129" i="3" s="1"/>
  <c r="D145" i="3" l="1"/>
  <c r="D130" i="3"/>
  <c r="C70" i="4" s="1"/>
  <c r="D70" i="4" s="1"/>
  <c r="C131" i="3"/>
  <c r="D129" i="3"/>
  <c r="C69" i="4" s="1"/>
  <c r="D69" i="4" s="1"/>
  <c r="C71" i="4" l="1"/>
  <c r="D71" i="4" s="1"/>
  <c r="G66" i="4" s="1"/>
  <c r="D131" i="3"/>
  <c r="C146" i="3"/>
  <c r="C86" i="4" l="1"/>
  <c r="D146" i="3"/>
  <c r="D86" i="4" l="1"/>
  <c r="G49" i="8" l="1"/>
  <c r="D88" i="3" l="1"/>
  <c r="C44" i="4" s="1"/>
  <c r="D44" i="4" s="1"/>
  <c r="G51" i="8" l="1"/>
  <c r="C89" i="3" s="1"/>
  <c r="D89" i="3" s="1"/>
  <c r="C45" i="4" s="1"/>
  <c r="C47" i="4" l="1"/>
  <c r="D45" i="4"/>
  <c r="C91" i="3"/>
  <c r="D91" i="3" l="1"/>
  <c r="B30" i="3" s="1"/>
  <c r="B15" i="4" s="1"/>
  <c r="C15" i="4" s="1"/>
  <c r="D47" i="4" l="1"/>
  <c r="D68" i="3" l="1"/>
  <c r="G61" i="8"/>
  <c r="C115" i="3" s="1"/>
  <c r="D115" i="3" l="1"/>
  <c r="C55" i="4" s="1"/>
  <c r="C118" i="3"/>
  <c r="D55" i="4" l="1"/>
  <c r="D57" i="4" s="1"/>
  <c r="C57" i="4"/>
  <c r="D118" i="3"/>
  <c r="B35" i="3" l="1"/>
  <c r="B16" i="4"/>
  <c r="D9" i="3" l="1"/>
  <c r="C16" i="4"/>
  <c r="C20" i="4" s="1"/>
  <c r="B20" i="4"/>
  <c r="D13" i="3" l="1"/>
  <c r="C9" i="3"/>
  <c r="E9" i="3"/>
  <c r="C21" i="4"/>
  <c r="C22" i="4"/>
  <c r="C25" i="4" l="1"/>
  <c r="A25" i="4"/>
</calcChain>
</file>

<file path=xl/sharedStrings.xml><?xml version="1.0" encoding="utf-8"?>
<sst xmlns="http://schemas.openxmlformats.org/spreadsheetml/2006/main" count="890" uniqueCount="518">
  <si>
    <t>2. Consultez le résultat sur la page des résultats.</t>
  </si>
  <si>
    <t>Logement</t>
  </si>
  <si>
    <t>Transports</t>
  </si>
  <si>
    <t>Train</t>
  </si>
  <si>
    <t>Transports en commun</t>
  </si>
  <si>
    <t>Nb heures bus/semaine</t>
  </si>
  <si>
    <t>Nb heures métro/semaine</t>
  </si>
  <si>
    <t>Alimentation</t>
  </si>
  <si>
    <t>Viande rouge</t>
  </si>
  <si>
    <t>Viande de porc</t>
  </si>
  <si>
    <t>Poisson</t>
  </si>
  <si>
    <t>Fromage</t>
  </si>
  <si>
    <t>Laitages</t>
  </si>
  <si>
    <t>Lait</t>
  </si>
  <si>
    <t>Alcool</t>
  </si>
  <si>
    <t>micmac.taca@yahoo.fr</t>
  </si>
  <si>
    <t>Électricité</t>
  </si>
  <si>
    <t>Fioul</t>
  </si>
  <si>
    <t>Avion</t>
  </si>
  <si>
    <t>Bus</t>
  </si>
  <si>
    <t>Métro</t>
  </si>
  <si>
    <t>Total Transports</t>
  </si>
  <si>
    <t>Total viandes et poissons</t>
  </si>
  <si>
    <t>Total laitages</t>
  </si>
  <si>
    <t>Total boissons</t>
  </si>
  <si>
    <t>Total Alimentation</t>
  </si>
  <si>
    <t xml:space="preserve">Total Autre Consommation </t>
  </si>
  <si>
    <t>Augmentation du prix du carburant (en €/L)</t>
  </si>
  <si>
    <t>Surcoût total par tonne de carbone</t>
  </si>
  <si>
    <t>Voiture à essence/gazole</t>
  </si>
  <si>
    <t>Fournisseur élec. Verte</t>
  </si>
  <si>
    <t>Caractéristiques du logement</t>
  </si>
  <si>
    <t>Viandes et poissons (kg/semaine)</t>
  </si>
  <si>
    <t>Fruits et légumes (kg/semaine)</t>
  </si>
  <si>
    <t>Boissons (litres/semaine)</t>
  </si>
  <si>
    <t>Sodas, jus, sirops, etc.</t>
  </si>
  <si>
    <t>Cochez la case si oui</t>
  </si>
  <si>
    <t>Buvez-vous votre eau en bouteille ?</t>
  </si>
  <si>
    <t>Finance</t>
  </si>
  <si>
    <t>Banques/actifs classiques</t>
  </si>
  <si>
    <t>Banques/actifs "responsables"</t>
  </si>
  <si>
    <t>Services publics</t>
  </si>
  <si>
    <t>Forfait individuel identique pour tous</t>
  </si>
  <si>
    <t>contact@avenirclimatique.org</t>
  </si>
  <si>
    <t>Association TaCa</t>
  </si>
  <si>
    <t>Association Avenir Climatique</t>
  </si>
  <si>
    <t>arrivés par avion</t>
  </si>
  <si>
    <t>Biens et services</t>
  </si>
  <si>
    <t>Postes d'émissions</t>
  </si>
  <si>
    <t>Sources de la donnée</t>
  </si>
  <si>
    <t>Fournisseur classique</t>
  </si>
  <si>
    <t>Volaille et œufs</t>
  </si>
  <si>
    <t>Dépenses en €</t>
  </si>
  <si>
    <t>Vos émissions annuelles</t>
  </si>
  <si>
    <t>Quelle est la différence entre "équivalent carbone" et "équivalent CO2" ?</t>
  </si>
  <si>
    <t>Classement</t>
  </si>
  <si>
    <t>kWh/m²/an</t>
  </si>
  <si>
    <t>kg eqCO2/m²/an</t>
  </si>
  <si>
    <t>Performances énergétiques</t>
  </si>
  <si>
    <t>kg eq C</t>
  </si>
  <si>
    <t>kg eq CO2</t>
  </si>
  <si>
    <t>Moyenne française</t>
  </si>
  <si>
    <t>Trains</t>
  </si>
  <si>
    <t>Soda, sirops, jus</t>
  </si>
  <si>
    <t>Eau en bouteille</t>
  </si>
  <si>
    <t>Total plats cuisinés</t>
  </si>
  <si>
    <t>Total finance</t>
  </si>
  <si>
    <t>Total service publics</t>
  </si>
  <si>
    <t>Indiquez les augmentations de prix à simuler</t>
  </si>
  <si>
    <t>surcoûts en €</t>
  </si>
  <si>
    <t xml:space="preserve">Total logement </t>
  </si>
  <si>
    <t>Surcoûts annuels alimentation</t>
  </si>
  <si>
    <t>Moto/Scooter/Mobilette</t>
  </si>
  <si>
    <t>Plats cuisinés et conserves</t>
  </si>
  <si>
    <t>Total plats cuisinés et conserves</t>
  </si>
  <si>
    <t>http://www2.ademe.fr/servlet/KBaseShow?catid=24826</t>
  </si>
  <si>
    <t xml:space="preserve"> (cf. foire aux questions)</t>
  </si>
  <si>
    <t>Déterminé sur la base de 251 gCO2e/(passager.km) et d'une vitesse de 750 km/h. Base Carbone - Avion, déplacement/voyage, 180-250 sièges, 3000-4000 km, carburant et amortissement de la fabrication du véhicule ; ordre de grandeur de vitesse tiré de ABM, consulté le 05/09/2014</t>
  </si>
  <si>
    <t>Sur la base d'écran LCD 24 pouces (431 kgCOe/appareil) à 200 €, d'ordinateur portable (1900 kgCO2/appareil) à 350 €, de smartphone (480 kgCOe/appareil) à 200 €. Base Carbone - Ecran LCD 24 pouces ; Ordinateur portable&gt;15 pouces, consulté le 05/09/2014</t>
  </si>
  <si>
    <t>Sur la base des émissions du GPL (1,84 kg CO2e/litres) à quoi on ajoute les émissions de fabrication de la voiture raportées à son utilisation (40 g CO2e/km) sur la base de 6 litres/100 km de conso moyenne. Base carbone - Voiture, fabrication amortie sur durée de vie ; GPL, gaz de pétrole liquéfié, amont et combustion, consulté le 05/09/2014</t>
  </si>
  <si>
    <t>http://www.produits-casino.fr/developpement-durable/dd_indice-carbone-produits.html?debut_passerelle=15#pagination_passerelle</t>
  </si>
  <si>
    <t>Sur la base de l'indice carbone de Casino sur un échantillon de plats cuisinés. http://www.produits-casino.fr, consulté le 25/08/2014</t>
  </si>
  <si>
    <t>Explications et sources</t>
  </si>
  <si>
    <t>Liens vers les sources</t>
  </si>
  <si>
    <t>http://www.basecarbone.fr</t>
  </si>
  <si>
    <t>Gaz</t>
  </si>
  <si>
    <t>/Unité</t>
  </si>
  <si>
    <t>/heure de vol (un passager)</t>
  </si>
  <si>
    <t>/heures (pour un passager)</t>
  </si>
  <si>
    <t>/citoyen</t>
  </si>
  <si>
    <t>Viandes et poissons</t>
  </si>
  <si>
    <t>Fromage et beurre</t>
  </si>
  <si>
    <t>Prix du CO2 - taxe CO2 (en €/tonne CO2)</t>
  </si>
  <si>
    <t>Simulation d'une taxe CO2 redistribuée intégralement</t>
  </si>
  <si>
    <t>/personnes</t>
  </si>
  <si>
    <t xml:space="preserve"> Carbone 4 - Energie des logements 2010, consulté le 05/09/2014</t>
  </si>
  <si>
    <t>Carbone 4 - Transports 2010, consulté le 05/09/2014</t>
  </si>
  <si>
    <t>Carbone 4 - Services d'utilité publique 2010, consulté le 05/09/2014</t>
  </si>
  <si>
    <t>Carbone 4 - Alimentation 2010, consulté le 05/09/2014</t>
  </si>
  <si>
    <t>Carbone 4 - Services privés 2010, consulté le 05/09/2014</t>
  </si>
  <si>
    <t>Votre total</t>
  </si>
  <si>
    <t>dont prix ou taxe CO2</t>
  </si>
  <si>
    <t>Calcul impact d'une augmentation de prix des carburants</t>
  </si>
  <si>
    <t>Calcul impact d'une prix/taxe CO2</t>
  </si>
  <si>
    <t>Calcul du montant du chèque CO2 redistribuée</t>
  </si>
  <si>
    <t>Sur la base de 3,19 kg CO2e/litre soit 0,87 kg Ce/litre pour le gazole, on considère que chaque kg Ce émis (tout poste compris) vient de la consommaton de 1,149 L de gazole et on applique le surcoût saisie.  Base Carbone - Gazole pur, amont et combustion, consultée le 05/09/2014</t>
  </si>
  <si>
    <t>Sur la base de la conversion 1 tonne CO2e = 12/44*1000 kg Ce</t>
  </si>
  <si>
    <t>Prix CO2 saisi (en €/tonne CO2e) * émissions moyennes françaises (en tonne CO2)</t>
  </si>
  <si>
    <t>Sur la base des émissions moyennes françaises calculées ci-dessus.</t>
  </si>
  <si>
    <t>Pour démarrer, cliquez ci-dessous.</t>
  </si>
  <si>
    <t>http://avenirclimatique.org</t>
  </si>
  <si>
    <t>http://www.taca.asso.fr/</t>
  </si>
  <si>
    <t>Vos consommations personnelles</t>
  </si>
  <si>
    <t>kg eq Carbone</t>
  </si>
  <si>
    <t>Onglet résultats</t>
  </si>
  <si>
    <t>Conversion du gaz en PCI : facteur 0,9028
Conversion de l'électricité en équivalent primaire :
- facteur de conversion de 2,58 pour EDF/classique
- facteur de conversion de 1,05 pour électricité verte.</t>
  </si>
  <si>
    <t>En considérant l'électricité verte comme provenant à 100 % de renouvelables.</t>
  </si>
  <si>
    <t>Simulation prix carbone</t>
  </si>
  <si>
    <t>Bravo, si tout le monde avait le même impact que vous, le problème du changement climatique serait résolu ! Continuez à montrer l'exemple !</t>
  </si>
  <si>
    <t xml:space="preserve"> la licence Creative Commons Attribution 4.0 International.</t>
  </si>
  <si>
    <t>MicMac est mis à disposition selon les termes de</t>
  </si>
  <si>
    <t>qu'est-ce que ça implique ?</t>
  </si>
  <si>
    <t>Qu'est-ce que la licence Creative Commons Attribution 4.0 International ?</t>
  </si>
  <si>
    <t>MicMac
(Mon impact carbone, Mes actions concrètes)</t>
  </si>
  <si>
    <t>La version de référence de cet outil est disponible sur les sites de TaCa et d'Avenir Climatique.</t>
  </si>
  <si>
    <t>3. Et si le prix de l'énergie augmente ? Et s'il y a une taxe carbone ? Combien cela me coûte-t-il ? Faites la simulation sur la page "simulation prix carbone".</t>
  </si>
  <si>
    <t>Les sources de données figurent sur la page des sources.</t>
  </si>
  <si>
    <t>Si vous avez des questions, vous pouvez nous contacter aux adresses suivantes :</t>
  </si>
  <si>
    <t>Une interrogation? Vous trouverez sûrement la réponse dans la foire aux questions.</t>
  </si>
  <si>
    <t>Viandes de bœuf, veau, mouton</t>
  </si>
  <si>
    <t>dont augmentation du prix du carburant</t>
  </si>
  <si>
    <t>Si les recettes de la taxe CO2 étaient redistribuées intégralement, vous toucheriez un chèque annuel de (en €) :</t>
  </si>
  <si>
    <t>Sur la base de BNP Paribas (émissions annuelles de 905 gCO2e/€), en considérant, contrairement à l'utilisation qui est faite par epargneclimat.com et au vu de leur méthodologie de calcul, que ces émissions sont à appliquer aux dividendes touchés et non à l'épargne totale. Les dividendes en fonction de l'épargne ou des actifs sont évalués sur la base d'un taux d'intérêt de 1,25 % (taux du livret A). epagneclimat.com, consulté le 05/09/2014</t>
  </si>
  <si>
    <t>Sur la base d'une moyenne entre La Banque Postale (émissions annuelles de 480 gCO2e/€) et la Nef (émissions annuelles de 200 gCO2e/€), en considérant, contrairement à l'utilisation qui est faite par epargneclimat.com et au vu de leur méthodologie de calcul, que ces émissions sont à appliquer aux dividendes touchés et non à l'épargne totale. Les dividendes en fonction de l'épargne ou des actifs sont évalués sur la base d'un taux d'intérêt de 1 % (au lieu de 1,25 % en épargne classique, en considérant que ces placements sont moins rentables), consulté le 05/09/2014</t>
  </si>
  <si>
    <t>Sur la base des estimations Carbone 4 des émissions des biens de consommations moins le fret. Carbone 4 - Autres biens de consommations 2010 ; Fret de marchandises et distribution 2010, consulté le 05/09/2014</t>
  </si>
  <si>
    <t>Objectif 2050</t>
  </si>
  <si>
    <t>Fruits et légumes frais (kg/semaine)</t>
  </si>
  <si>
    <t>Alcool (tous types)</t>
  </si>
  <si>
    <t>Total émissions du logement</t>
  </si>
  <si>
    <t>Riz</t>
  </si>
  <si>
    <t>Pain, pâtes</t>
  </si>
  <si>
    <t>Pain, pâtes, riz</t>
  </si>
  <si>
    <t>Total pain, pâtes, riz</t>
  </si>
  <si>
    <t>NB : Pour éviter de fausses manipulations, cet outil est verrouillé. Vous pouvez lever la protection à tout moment, celle-ci n'est pas protégée par un mot de passe.</t>
  </si>
  <si>
    <t>Aidez-nous à améliorer l'outil en répondant à notre questionnaire d'amélioration !</t>
  </si>
  <si>
    <t>Émissions unitaires</t>
  </si>
  <si>
    <t>Nombre d'habitants du logement</t>
  </si>
  <si>
    <t>Kilométrage annuel</t>
  </si>
  <si>
    <t>Gaz et fioul (consommation annuelle)</t>
  </si>
  <si>
    <t xml:space="preserve">Nombre moyen d'usagers </t>
  </si>
  <si>
    <t>Conso moyenne aux 100km</t>
  </si>
  <si>
    <t>Nombre d'heures de vol par an</t>
  </si>
  <si>
    <t>Nombre d'heures de bus/semaine</t>
  </si>
  <si>
    <t>Nombre d'heures de métro/semaine</t>
  </si>
  <si>
    <t>Plats cuisinés et boîtes de conserves (kg/semaine)</t>
  </si>
  <si>
    <t>Transports
(hors transports professionnels)</t>
  </si>
  <si>
    <t>Valeur en € de vos actifs financiers
(épargne, livrets, actions, assurance vie, PEL, ...)</t>
  </si>
  <si>
    <t>Électricité (conso annuelle en kWh)</t>
  </si>
  <si>
    <t>Surface logement (m²)</t>
  </si>
  <si>
    <t>Services gratuits de l'Etat et des collectivités
(Santé, routes, éducation, justice, défense, etc.)</t>
  </si>
  <si>
    <t>Émissions annuelles par type d'énergie (et par personne)</t>
  </si>
  <si>
    <t>Émissions annuelles par type de transport</t>
  </si>
  <si>
    <t>Émissions annuelles par type d'aliment</t>
  </si>
  <si>
    <t>Émissions annuelles par type de consommations</t>
  </si>
  <si>
    <t>Émissions annuelles par type d'actifs financiers</t>
  </si>
  <si>
    <t>Émissions annuelles</t>
  </si>
  <si>
    <t>Émissions et surcoûts annuels par poste</t>
  </si>
  <si>
    <t>Émissions et surcoûts annuels par type d'énergie</t>
  </si>
  <si>
    <t>Émissions et surcoûts annuels par type d'aliment</t>
  </si>
  <si>
    <t>Émissions et pertes annuelles par type d'actifs financiers</t>
  </si>
  <si>
    <t>Émissions et surcoûts annuels par type d'actifs financiers</t>
  </si>
  <si>
    <t>Qu'est-ce que c'est ?</t>
  </si>
  <si>
    <t>Total fruits et légumes</t>
  </si>
  <si>
    <t>Émissions et surcoûts annuels par type de consommation</t>
  </si>
  <si>
    <t>Total Plats cuisinés/conserves</t>
  </si>
  <si>
    <t xml:space="preserve">Matériel informatique &amp; électronique </t>
  </si>
  <si>
    <t>Si le carburant est à 1,5 €/L et que vous voulez connaître l'impact à 2 €/L, indiquez "0,5" dans la case (augmentation de 0,5 €/L).</t>
  </si>
  <si>
    <t>Comme valeur par défaut, vous pouvez mettre 20 €/tonne, ce qui était la valeur prévue par le dernier projet de taxe carbone. A terme, certains économistes suggèrent qu'une telle taxe devrait atteindre 200 €/tonne.</t>
  </si>
  <si>
    <t>Le surcoût total est calculé automatiquement, il s'agit du surcoût des 2 premières lignes cumulées.</t>
  </si>
  <si>
    <t>Émissions et surcoûts annuels par type de transport</t>
  </si>
  <si>
    <t>Cette licence indique que vous pouvez :
- partager l'outil : le copier, redistribuer cet outil sous n'importe quel format et média.
- adapter l'outil : le transformer, le modifier, y ajouter de nouvelles fonctionnalités.
et cela quel que soit votre but, même commercial.
Avec cette licence, vous devez lors de tout usage de l'outil :
- Citer les auteurs (TaCa et Avenir Climatique), conserver la licence Creative Commons Attribution 4.0 International, et indiquer si vous avez modifié l'outil. Vous pouvez le faire comme vous l'entendez mais sans laisser entendre que les auteurs soutiennent la manière dont vous utilisez l'outil.
- Ne pas ajouter de restriction à l'utilisation de l'outil : vous ne pouvez en restreindre l'usage au-delà de ce que la licence prévoit.</t>
  </si>
  <si>
    <t>FOIRE AUX QUESTIONS</t>
  </si>
  <si>
    <t>Pain, pâtes, riz, etc (kg/semaine)</t>
  </si>
  <si>
    <r>
      <t xml:space="preserve">1. Saisissez les informations demandées sur la page de saisie dans les cases </t>
    </r>
    <r>
      <rPr>
        <b/>
        <sz val="16"/>
        <color rgb="FFF39912"/>
        <rFont val="Arial"/>
        <family val="2"/>
      </rPr>
      <t>orange</t>
    </r>
    <r>
      <rPr>
        <sz val="16"/>
        <color rgb="FF096377"/>
        <rFont val="Arial"/>
        <family val="2"/>
      </rPr>
      <t>.</t>
    </r>
  </si>
  <si>
    <r>
      <rPr>
        <b/>
        <sz val="12"/>
        <color rgb="FF096377"/>
        <rFont val="Tahoma"/>
        <family val="2"/>
      </rPr>
      <t>Bienvenue et merci d'utiliser MicMac !</t>
    </r>
    <r>
      <rPr>
        <sz val="12"/>
        <color rgb="FF096377"/>
        <rFont val="Tahoma"/>
        <family val="2"/>
      </rPr>
      <t xml:space="preserve">
Vous vous demandez quel est votre impact individuel concernant la problématique du changement climatique ?
Vous voulez montrer l'exemple ? Vous voulez "faire votre part" ? Vous souhaitez agir à votre niveau en modifiant vos habitudes pour que votre impact soit le plus faible possible ?
Mais vous n'êtes pas sûr-e de savoir par où commencer et vous voudriez être certain-e de faire des actions efficaces ?
MicMac va :
- vous permettre </t>
    </r>
    <r>
      <rPr>
        <b/>
        <sz val="12"/>
        <color rgb="FF096377"/>
        <rFont val="Tahoma"/>
        <family val="2"/>
      </rPr>
      <t>d'évaluer simplement et rapidement</t>
    </r>
    <r>
      <rPr>
        <sz val="12"/>
        <color rgb="FF096377"/>
        <rFont val="Tahoma"/>
        <family val="2"/>
      </rPr>
      <t xml:space="preserve"> l'impact de vos pratiques et de vos gestes quotidiens,
- vous permettre </t>
    </r>
    <r>
      <rPr>
        <b/>
        <sz val="12"/>
        <color rgb="FF096377"/>
        <rFont val="Tahoma"/>
        <family val="2"/>
      </rPr>
      <t>d'identifier l'origine de vos plus gros impacts</t>
    </r>
    <r>
      <rPr>
        <sz val="12"/>
        <color rgb="FF096377"/>
        <rFont val="Tahoma"/>
        <family val="2"/>
      </rPr>
      <t xml:space="preserve">,
- vous donner </t>
    </r>
    <r>
      <rPr>
        <b/>
        <sz val="12"/>
        <color rgb="FF096377"/>
        <rFont val="Tahoma"/>
        <family val="2"/>
      </rPr>
      <t>plusieurs pistes d'actions pour les réduire</t>
    </r>
    <r>
      <rPr>
        <sz val="12"/>
        <color rgb="FF096377"/>
        <rFont val="Tahoma"/>
        <family val="2"/>
      </rPr>
      <t>.
En pratique, vous allez d'abord saisir quelques informations sur vos habitudes. Ensuite vous pourrez voir une évaluation de votre impact sur le climat et identifier des actions possibles. Enfin, vous pourrez également faire une simulation du coût qu'aurait pour vous une contribution énergie/climat, une taxe carbone ou CO2 ou bien une augmentation des prix des carburants.
MicMac a été conçu par les associations TaCa et Avenir Climatique sur une idée originale de TaCa.</t>
    </r>
  </si>
  <si>
    <r>
      <rPr>
        <sz val="11"/>
        <color rgb="FF096377"/>
        <rFont val="Tahoma"/>
        <family val="2"/>
      </rPr>
      <t>À la fin, vous pouvez nous aider à améliorer l'outil en répondant à notre questionnaire d'amélioration !</t>
    </r>
    <r>
      <rPr>
        <sz val="14"/>
        <color rgb="FF096377"/>
        <rFont val="Tahoma"/>
        <family val="2"/>
      </rPr>
      <t xml:space="preserve"> </t>
    </r>
    <r>
      <rPr>
        <sz val="10"/>
        <color rgb="FF096377"/>
        <rFont val="Tahoma"/>
        <family val="2"/>
      </rPr>
      <t>(cliquez ci-dessous)</t>
    </r>
  </si>
  <si>
    <r>
      <rPr>
        <b/>
        <sz val="16"/>
        <color rgb="FF096377"/>
        <rFont val="Tahoma"/>
        <family val="2"/>
      </rPr>
      <t>ÉCRAN DES RÉSULTATS</t>
    </r>
    <r>
      <rPr>
        <sz val="16"/>
        <color rgb="FF096377"/>
        <rFont val="Tahoma"/>
        <family val="2"/>
      </rPr>
      <t xml:space="preserve">
Vous pouvez voir ici vos résultats.</t>
    </r>
  </si>
  <si>
    <r>
      <t xml:space="preserve">TOTAL GÉNÉRAL
</t>
    </r>
    <r>
      <rPr>
        <sz val="16"/>
        <color rgb="FF096377"/>
        <rFont val="Tahoma"/>
        <family val="2"/>
      </rPr>
      <t>(avec services publics)</t>
    </r>
  </si>
  <si>
    <t>Total viandes &amp; poissons</t>
  </si>
  <si>
    <r>
      <rPr>
        <b/>
        <sz val="10"/>
        <color rgb="FF096377"/>
        <rFont val="Tahoma"/>
        <family val="2"/>
      </rPr>
      <t>GES</t>
    </r>
    <r>
      <rPr>
        <sz val="10"/>
        <color rgb="FF096377"/>
        <rFont val="Tahoma"/>
        <family val="2"/>
      </rPr>
      <t xml:space="preserve"> : Gaz à Effets de Serre</t>
    </r>
  </si>
  <si>
    <r>
      <rPr>
        <b/>
        <sz val="12"/>
        <color rgb="FF096377"/>
        <rFont val="Tahoma"/>
        <family val="2"/>
      </rPr>
      <t>PERFORMANCES ÉNERGÉTIQUES ET CLIMATIQUES</t>
    </r>
    <r>
      <rPr>
        <sz val="10"/>
        <color rgb="FF096377"/>
        <rFont val="Tahoma"/>
        <family val="2"/>
      </rPr>
      <t xml:space="preserve">
Le tableau vous indique dans quelle catégorie vous vous situez (de A à F).</t>
    </r>
  </si>
  <si>
    <t>Services gratuits de l'Etat et des collectivités
Santé, routes, éducation, justice, défense, etc.</t>
  </si>
  <si>
    <r>
      <t xml:space="preserve">L'équivalent CO2 et l'équivalent carbone permettent de mesurer tous les deux </t>
    </r>
    <r>
      <rPr>
        <b/>
        <sz val="10"/>
        <color rgb="FF096377"/>
        <rFont val="Tahoma"/>
        <family val="2"/>
      </rPr>
      <t>la même chose</t>
    </r>
    <r>
      <rPr>
        <sz val="10"/>
        <color rgb="FF096377"/>
        <rFont val="Tahoma"/>
        <family val="2"/>
      </rPr>
      <t xml:space="preserve"> : </t>
    </r>
    <r>
      <rPr>
        <b/>
        <sz val="10"/>
        <color rgb="FF096377"/>
        <rFont val="Tahoma"/>
        <family val="2"/>
      </rPr>
      <t>les dégâts climatiques de nos émissions</t>
    </r>
    <r>
      <rPr>
        <sz val="10"/>
        <color rgb="FF096377"/>
        <rFont val="Tahoma"/>
        <family val="2"/>
      </rPr>
      <t xml:space="preserve">, c'est-à-dire, grosso modo, le réchauffement terrestre que ces émissions vont entraîner. C'est exactement pareil que les kilogrammes (kg) et les tonnes qui servent à mesurer une masse, ou bien les euros et les dollars qui servent à mesurer la valeur marchande des choses. 
Et, de la même manière, les dégâts climatiques exprimés en équivalent CO2 ne vont pas avoir la même valeur que les dégâts climatique exprimés en équivalent carbone : de même qu'une masse de 1 tonne équivaut à une masse de 1000 kg (rapport 1 pour 1000), </t>
    </r>
    <r>
      <rPr>
        <b/>
        <sz val="10"/>
        <color rgb="FF096377"/>
        <rFont val="Tahoma"/>
        <family val="2"/>
      </rPr>
      <t>un dégât climatique de 1 kg équivalent carbone équivaut à 3,7 kg équivalent CO2</t>
    </r>
    <r>
      <rPr>
        <sz val="10"/>
        <color rgb="FF096377"/>
        <rFont val="Tahoma"/>
        <family val="2"/>
      </rPr>
      <t xml:space="preserve">, c'est-à-dire presque 4 fois plus.
Plus précisément :
- émettre 1 kg équivalent carbone (noté "1 kg eq-C" ou "1 kgCe"), c'est faire autant de dégâts climatiques que si on avait brûlé </t>
    </r>
    <r>
      <rPr>
        <b/>
        <sz val="10"/>
        <color rgb="FF096377"/>
        <rFont val="Tahoma"/>
        <family val="2"/>
      </rPr>
      <t>1 kg de carbone pur</t>
    </r>
    <r>
      <rPr>
        <sz val="10"/>
        <color rgb="FF096377"/>
        <rFont val="Tahoma"/>
        <family val="2"/>
      </rPr>
      <t xml:space="preserve">.
- émettre 1 kg équivalent CO2 (noté "1 kg eq-CO2" ou "1 kgCO2e"), c'est faire autant de dégâts climatiques que si on émettait </t>
    </r>
    <r>
      <rPr>
        <b/>
        <sz val="10"/>
        <color rgb="FF096377"/>
        <rFont val="Tahoma"/>
        <family val="2"/>
      </rPr>
      <t>1 kg de CO2</t>
    </r>
    <r>
      <rPr>
        <sz val="10"/>
        <color rgb="FF096377"/>
        <rFont val="Tahoma"/>
        <family val="2"/>
      </rPr>
      <t xml:space="preserve">.
En pratique, si on brûle </t>
    </r>
    <r>
      <rPr>
        <b/>
        <sz val="10"/>
        <color rgb="FF096377"/>
        <rFont val="Tahoma"/>
        <family val="2"/>
      </rPr>
      <t>1 kg de carbone pur</t>
    </r>
    <r>
      <rPr>
        <sz val="10"/>
        <color rgb="FF096377"/>
        <rFont val="Tahoma"/>
        <family val="2"/>
      </rPr>
      <t xml:space="preserve">, on émet </t>
    </r>
    <r>
      <rPr>
        <b/>
        <sz val="10"/>
        <color rgb="FF096377"/>
        <rFont val="Tahoma"/>
        <family val="2"/>
      </rPr>
      <t>3,7 kg de CO2</t>
    </r>
    <r>
      <rPr>
        <sz val="10"/>
        <color rgb="FF096377"/>
        <rFont val="Tahoma"/>
        <family val="2"/>
      </rPr>
      <t xml:space="preserve"> (très exactement 12/44 kg), d'où le rapport 3,7 entre les deux unités.
On peut bien sûr utiliser les équivalents carbone et CO2 pour exprimer les dégâts climatiques de tous les gaz à effet de serre. Ainsi, émettre 1 kg de méthane, c'est autant de dégâts climatiques qu'émettre 25 kg de CO2. On dira que 1 kg de méthane équivaut à 25 kg CO2e, soit encore 6,8 kg Ce.</t>
    </r>
  </si>
  <si>
    <r>
      <rPr>
        <b/>
        <sz val="16"/>
        <color rgb="FF096377"/>
        <rFont val="Tahoma"/>
        <family val="2"/>
      </rPr>
      <t>ÉCRAN DE SIMULATION DU PRIX DU CARBONE</t>
    </r>
    <r>
      <rPr>
        <sz val="16"/>
        <color rgb="FF096377"/>
        <rFont val="Tahoma"/>
        <family val="2"/>
      </rPr>
      <t xml:space="preserve">
Vous pouvez voir ici l'impact d'une taxe carbone ou d'une augmentation du prix du carburant sur votre budget.</t>
    </r>
  </si>
  <si>
    <r>
      <rPr>
        <b/>
        <sz val="10"/>
        <color rgb="FF096377"/>
        <rFont val="Tahoma"/>
        <family val="2"/>
      </rPr>
      <t>Augmentation du prix du carburant</t>
    </r>
    <r>
      <rPr>
        <sz val="10"/>
        <color rgb="FF096377"/>
        <rFont val="Tahoma"/>
        <family val="2"/>
      </rPr>
      <t xml:space="preserve"> : Si le carburant est à 1,5 €/L et que vous voulez connaître l'impact à 2 €/L, indiquez "0,5" dans la case (augmentation de 0,5 €/L).
</t>
    </r>
    <r>
      <rPr>
        <b/>
        <sz val="10"/>
        <color rgb="FF096377"/>
        <rFont val="Tahoma"/>
        <family val="2"/>
      </rPr>
      <t>Prix du CO2 - taxe CO2</t>
    </r>
    <r>
      <rPr>
        <sz val="10"/>
        <color rgb="FF096377"/>
        <rFont val="Tahoma"/>
        <family val="2"/>
      </rPr>
      <t xml:space="preserve"> : Comme valeur par défaut, vous pouvez mettre 20 €/tonne, ce qui était la valeur prévue par le dernier projet de taxe carbone. A terme, certains économistes suggèrent qu'une telle taxe devrait atteindre 200 €/tonne.
</t>
    </r>
    <r>
      <rPr>
        <b/>
        <sz val="10"/>
        <color rgb="FF096377"/>
        <rFont val="Tahoma"/>
        <family val="2"/>
      </rPr>
      <t>Surcoût total par tonne de carbone</t>
    </r>
    <r>
      <rPr>
        <sz val="10"/>
        <color rgb="FF096377"/>
        <rFont val="Tahoma"/>
        <family val="2"/>
      </rPr>
      <t xml:space="preserve"> : Le surcoût total est calculé automatiquement, il s'agit du surcoût des 2 premières lignes cumulées.</t>
    </r>
  </si>
  <si>
    <r>
      <rPr>
        <b/>
        <sz val="11"/>
        <color rgb="FF096377"/>
        <rFont val="Tahoma"/>
        <family val="2"/>
      </rPr>
      <t>Biens de consommation : Euros/an</t>
    </r>
    <r>
      <rPr>
        <sz val="9"/>
        <color rgb="FF096377"/>
        <rFont val="Tahoma"/>
        <family val="2"/>
      </rPr>
      <t xml:space="preserve">
L'énergie grise, c'est à dire le carbone nécessité pour fabriquer les objets qu'on achète, est beaucoup plus importante dans les objets et services de haute technologie que dans les objets et services courants (vêtements, mobilier, plombier).
Il s'agit ici de répartir votre budget d'achat annuel entre les 2 postes proposés. Mettre les abonnements téléphonie dans le 1er poste.
N'oubliez pas les budgets cadeau Noël et anniversaire. Scoop: les dons à taca et Avenir Climatique sont estimés à 0g Ce/€ !</t>
    </r>
  </si>
  <si>
    <r>
      <rPr>
        <b/>
        <sz val="11"/>
        <color rgb="FF096377"/>
        <rFont val="Tahoma"/>
        <family val="2"/>
      </rPr>
      <t>INDICATEURS</t>
    </r>
    <r>
      <rPr>
        <b/>
        <sz val="9"/>
        <color rgb="FF096377"/>
        <rFont val="Tahoma"/>
        <family val="2"/>
      </rPr>
      <t xml:space="preserve">
</t>
    </r>
    <r>
      <rPr>
        <sz val="9"/>
        <color rgb="FF096377"/>
        <rFont val="Tahoma"/>
        <family val="2"/>
      </rPr>
      <t xml:space="preserve">(pour apprécier la quantité totale pour 1 SEMAINE)
</t>
    </r>
    <r>
      <rPr>
        <b/>
        <sz val="9"/>
        <color rgb="FF096377"/>
        <rFont val="Tahoma"/>
        <family val="2"/>
      </rPr>
      <t>Viande</t>
    </r>
    <r>
      <rPr>
        <sz val="9"/>
        <color rgb="FF096377"/>
        <rFont val="Tahoma"/>
        <family val="2"/>
      </rPr>
      <t xml:space="preserve">
* Un steack haché pèse 100 g environ
* Un oeuf pèse environ 50 g : 6 oeufs pèsent 0,3 kg ; 20 oeufs pèsent 1 kg
* Une portion: 0,15Kg
</t>
    </r>
    <r>
      <rPr>
        <b/>
        <sz val="9"/>
        <color rgb="FF096377"/>
        <rFont val="Tahoma"/>
        <family val="2"/>
      </rPr>
      <t>Laitages</t>
    </r>
    <r>
      <rPr>
        <sz val="9"/>
        <color rgb="FF096377"/>
        <rFont val="Tahoma"/>
        <family val="2"/>
      </rPr>
      <t xml:space="preserve">
Portion fromage : 0,05Kg
Portion laitages : 0,125Kg
</t>
    </r>
    <r>
      <rPr>
        <b/>
        <sz val="9"/>
        <color rgb="FF096377"/>
        <rFont val="Tahoma"/>
        <family val="2"/>
      </rPr>
      <t>Exemples de fruits et légumes arrivés par avion :</t>
    </r>
    <r>
      <rPr>
        <sz val="9"/>
        <color rgb="FF096377"/>
        <rFont val="Tahoma"/>
        <family val="2"/>
      </rPr>
      <t xml:space="preserve">
* Cerises, fraises et raisins de l'hémisphère sud,
* Ananas de Côte d'Ivoire, litchis de la Réunion
* Bananes, oranges d'Amérique du Sud
</t>
    </r>
    <r>
      <rPr>
        <b/>
        <sz val="9"/>
        <color rgb="FF096377"/>
        <rFont val="Tahoma"/>
        <family val="2"/>
      </rPr>
      <t>Plats cuisinés et conserves</t>
    </r>
    <r>
      <rPr>
        <sz val="9"/>
        <color rgb="FF096377"/>
        <rFont val="Tahoma"/>
        <family val="2"/>
      </rPr>
      <t xml:space="preserve">
Une boîte de conserve format classique contient 0,8 kg
</t>
    </r>
  </si>
  <si>
    <t>kg équivalent
CO2</t>
  </si>
  <si>
    <t>kg carbone équivalent</t>
  </si>
  <si>
    <t>kg C/1000€</t>
  </si>
  <si>
    <t>Valeur en € de vos actifs financiers (épargne, livrets, actions, assurance vie, PEL, ...)</t>
  </si>
  <si>
    <t>Facture en €/mois</t>
  </si>
  <si>
    <t>Calculateur Consomation Energétique</t>
  </si>
  <si>
    <t>électricité</t>
  </si>
  <si>
    <t>Elyotherm.fr</t>
  </si>
  <si>
    <t>JeChange.fr (életricité)</t>
  </si>
  <si>
    <t>kWh / an</t>
  </si>
  <si>
    <t>Version</t>
  </si>
  <si>
    <t>Date de la version</t>
  </si>
  <si>
    <t>Changement par rapport version précédente</t>
  </si>
  <si>
    <t>V1.0</t>
  </si>
  <si>
    <t>V1.01</t>
  </si>
  <si>
    <t>10/21/2014</t>
  </si>
  <si>
    <t>correction calcul résultat Carbone du train dans l'onglet saisie</t>
  </si>
  <si>
    <t>La différence entre carbone et CO2 ? Voir la foire aux questions.</t>
  </si>
  <si>
    <r>
      <rPr>
        <b/>
        <sz val="16"/>
        <color rgb="FF096377"/>
        <rFont val="Tahoma"/>
        <family val="2"/>
      </rPr>
      <t xml:space="preserve">SOURCES DES DONNÉES </t>
    </r>
    <r>
      <rPr>
        <sz val="14"/>
        <color rgb="FF096377"/>
        <rFont val="Tahoma"/>
        <family val="2"/>
      </rPr>
      <t>Vous verrez ici les sources des différentes données utilisées pour cet outil.</t>
    </r>
  </si>
  <si>
    <t>Simulation Facture énergétique</t>
  </si>
  <si>
    <t>Ajout d'une aide à l'estimation énergétique dans l'onglet FAQ
Ajout d'un onglet version (et ajout du contenu du fichier version du drive)</t>
  </si>
  <si>
    <t>Cout du kWh électrique</t>
  </si>
  <si>
    <t>Cout du kWh de divers sources</t>
  </si>
  <si>
    <t>V1.2</t>
  </si>
  <si>
    <r>
      <rPr>
        <b/>
        <sz val="20"/>
        <color rgb="FF096377"/>
        <rFont val="Tahoma"/>
        <family val="2"/>
      </rPr>
      <t>MODE D'EMPLOI</t>
    </r>
    <r>
      <rPr>
        <sz val="20"/>
        <color rgb="FF096377"/>
        <rFont val="Tahoma"/>
        <family val="2"/>
      </rPr>
      <t xml:space="preserve">
Vous trouverez ici comment utiliser l'outil.</t>
    </r>
  </si>
  <si>
    <t>première version sous le nom MICMAC</t>
  </si>
  <si>
    <t>http://www.paris.fr/pratique/deplacements-voirie/transports-en-commun/promouvoir-les-transports-collectifs/rub_385_stand_10755_port_1208</t>
  </si>
  <si>
    <t>http://www.abm.fr/voyager-en-avion-le-guide-du-passager/en-complement/distances-et-durees-de-vol.html</t>
  </si>
  <si>
    <t>http://transports.blog.lemonde.fr/2013/03/11/les-petits-secrets-de-la-ratp-reveles-au-public/</t>
  </si>
  <si>
    <t>€/kWh</t>
  </si>
  <si>
    <t>Estimation du cout du kWh par divers fournisseur, et divers type de compteur. La valeur utilisée est une moyenne de l'ensemble, ces valeurs changeant peu d'un fournisseur à un autre</t>
  </si>
  <si>
    <t>Estimation du cout du kWh pour divers source énergétiques</t>
  </si>
  <si>
    <t>CALCULATEUR CONSOMATION ENERGETIQUE</t>
  </si>
  <si>
    <t>Entrer la valeur de la facture mensuelle, pour obtenir une estimation de la consommation énergétique annuelle. Le coefficient utilisé est une moyenne obtenue auprès de divers source, sa valeure changeant peu suivant les fournisseurs (cf. sources des données)
Ce calcultateur est utilisé pour obtenir une estimation des kWh (kilo-Watt-heure) consomé dans une année si vous n'avez pas votre facture avec vous, mais que vous connaissez le montant payé par mois</t>
  </si>
  <si>
    <t>(Pour une aide à l'estimation, voir la page dédié)</t>
  </si>
  <si>
    <t>https://elyotherm.fr/comparatif-cout-energies-kwh</t>
  </si>
  <si>
    <t>http://www.jechange.fr/energie/electricite/guides/prix-electricite-kwh-2435</t>
  </si>
  <si>
    <t>V2</t>
  </si>
  <si>
    <t>Bois buches</t>
  </si>
  <si>
    <t>Bois granulés</t>
  </si>
  <si>
    <t>PAC Géothermique</t>
  </si>
  <si>
    <t>Propane</t>
  </si>
  <si>
    <t>Electronique</t>
  </si>
  <si>
    <t>Home cinéma</t>
  </si>
  <si>
    <t>Console Vidéo</t>
  </si>
  <si>
    <t>Ecran (Valeur pour 21')</t>
  </si>
  <si>
    <t>Ordinateur fixe haute performance</t>
  </si>
  <si>
    <t>Ordinateur portable</t>
  </si>
  <si>
    <t>Smartphone 5"</t>
  </si>
  <si>
    <t>Tablette</t>
  </si>
  <si>
    <t>Television (Valeur pour 40-49')</t>
  </si>
  <si>
    <t>Vidéo projecteur</t>
  </si>
  <si>
    <t>Appareil photo</t>
  </si>
  <si>
    <t>ans</t>
  </si>
  <si>
    <t>Textile</t>
  </si>
  <si>
    <t>kgCO2eq/€</t>
  </si>
  <si>
    <t>Quantité de textile achetée (€/an) hors seconde main (friperies, récupération, occasion…)</t>
  </si>
  <si>
    <t>Electroménager</t>
  </si>
  <si>
    <t>kgCO2eq/u</t>
  </si>
  <si>
    <t>Quantité d'électroménager achetée (€/an) hors seconde main (récupération, occasion…)</t>
  </si>
  <si>
    <t>Chemise en coton (11,2kgCO2/u), Jean en coton (23,2kgCO2/u) à 50€/unité</t>
  </si>
  <si>
    <t>Hypothèse 1€=1kgCO2 (Congélateur 415 kgCO2e/unité à 400€/u)</t>
  </si>
  <si>
    <t>Autres produits manufacturés (livres, mobilier, etc.)</t>
  </si>
  <si>
    <t>Sur la base de livres (1100 gCO2e/livre) à 20 €</t>
  </si>
  <si>
    <t>kgCO2e/€</t>
  </si>
  <si>
    <t>Bois</t>
  </si>
  <si>
    <t>Bois bûche</t>
  </si>
  <si>
    <t>Gaz naturel (kWh)</t>
  </si>
  <si>
    <t>Propane (kWh)</t>
  </si>
  <si>
    <t>Fournisseur de gaz vert (kWh)</t>
  </si>
  <si>
    <t>Gaz vert</t>
  </si>
  <si>
    <t>https://www.grdf.fr/dossiers/biomethane-biogaz/etude-biomethane-gaz-a-effet-de-serre</t>
  </si>
  <si>
    <t>kgCO2/kWh</t>
  </si>
  <si>
    <t>Gaz naturel - 2015 - mix moyen - consommation consulté le 05/09/2014</t>
  </si>
  <si>
    <t>renouvelé tous les X (ans)</t>
  </si>
  <si>
    <t>Granulés bois</t>
  </si>
  <si>
    <t>Granulés bois - 8% d'humidité consulté le 28/04/2019</t>
  </si>
  <si>
    <t>Bois bûche - 20% d'humidité consulté le 28/04/2019</t>
  </si>
  <si>
    <t>kgCO2eq/kWh PCI</t>
  </si>
  <si>
    <t>kgCO2e/kWh PCI</t>
  </si>
  <si>
    <t>Fioul domestique consulté le 29/04/2019</t>
  </si>
  <si>
    <t>Combustibles</t>
  </si>
  <si>
    <t>Entre 170 et 313 gCO2e/kWh économisés en fonction de la filière de méthanisation retenue. ACV ADEME GrDF</t>
  </si>
  <si>
    <t>Propane - Combustion en chaudière consulté le 29/04/2019</t>
  </si>
  <si>
    <t>Fioul domestique (kWh)</t>
  </si>
  <si>
    <t>Electricité - 2018 - mix moyen - consommation consulté 28/04/2019</t>
  </si>
  <si>
    <t>kgCO2eq/kWh</t>
  </si>
  <si>
    <t xml:space="preserve">Autres produits manufacturés </t>
  </si>
  <si>
    <t>Internet</t>
  </si>
  <si>
    <t>kgCO2e/h</t>
  </si>
  <si>
    <t>https://theshiftproject.org/lean-ict/</t>
  </si>
  <si>
    <t>Voiture électrique</t>
  </si>
  <si>
    <t>kgCO2e/km</t>
  </si>
  <si>
    <t>Autres produits manufacturés (livres, mobilier, etc.) (€/an)</t>
  </si>
  <si>
    <t>Alimentation (expert)</t>
  </si>
  <si>
    <t>Repas</t>
  </si>
  <si>
    <t>Nombre de repas végétariens</t>
  </si>
  <si>
    <t>Nombre de repas à base de viande rouge</t>
  </si>
  <si>
    <t>Nombre de repas à base de viande blanche</t>
  </si>
  <si>
    <t>Déchets</t>
  </si>
  <si>
    <t>Etes vous engagé dans une démarche zéro déchet ?</t>
  </si>
  <si>
    <t>kgCO2e/repas</t>
  </si>
  <si>
    <t>Boissons</t>
  </si>
  <si>
    <r>
      <rPr>
        <b/>
        <sz val="11"/>
        <color rgb="FF096377"/>
        <rFont val="Tahoma"/>
        <family val="2"/>
      </rPr>
      <t>INDICATEURS</t>
    </r>
    <r>
      <rPr>
        <sz val="9"/>
        <color rgb="FF096377"/>
        <rFont val="Tahoma"/>
        <family val="2"/>
      </rPr>
      <t xml:space="preserve">
</t>
    </r>
  </si>
  <si>
    <t>Zéro déchet</t>
  </si>
  <si>
    <t>kgCO2/personne/an</t>
  </si>
  <si>
    <t>200kgCO2/personne/an sans démarche zéro déchet
Division par 3 en cas de démarche zéro déchet</t>
  </si>
  <si>
    <t>https://jancovici.com/changement-climatique/les-ges-et-nous/combien-de-gaz-a-effet-de-serre-dans-notre-poubelle/</t>
  </si>
  <si>
    <t xml:space="preserve">Souhaitez vous utiliser le mode expert ? </t>
  </si>
  <si>
    <r>
      <t xml:space="preserve">Alimentation (débutant)
</t>
    </r>
    <r>
      <rPr>
        <i/>
        <sz val="10"/>
        <color rgb="FF096377"/>
        <rFont val="Tahoma"/>
        <family val="2"/>
      </rPr>
      <t>(Un calcul plus détaillé est disponible plus bas, le cas échéant, ne pas remplir cette partie)</t>
    </r>
  </si>
  <si>
    <t xml:space="preserve">Gaz </t>
  </si>
  <si>
    <t xml:space="preserve">Bois </t>
  </si>
  <si>
    <t>Perfomances climatiques</t>
  </si>
  <si>
    <t>Voiture ess/gazoil</t>
  </si>
  <si>
    <t>Base viande rouge</t>
  </si>
  <si>
    <t>Base viande blanche</t>
  </si>
  <si>
    <t>Végétarien</t>
  </si>
  <si>
    <t>kgCO2/repas</t>
  </si>
  <si>
    <t>Repas - végétarien consulté le 28/04/2019</t>
  </si>
  <si>
    <t>Repas - classique (avec boeuf) consulté le 28/04/2019</t>
  </si>
  <si>
    <t>Repas - classique (avec poulet) consulté le 28/04/2019</t>
  </si>
  <si>
    <t>en CO2 équivalent</t>
  </si>
  <si>
    <t>Alcool (vin, bière…)</t>
  </si>
  <si>
    <t>kgCO2e/litre</t>
  </si>
  <si>
    <t>Sur la base du vin à 1,43 gCO2e/L. et Bière 2.67 kgCO2e/litre de liquide. Base Carbone - consultée le 22/06/2019</t>
  </si>
  <si>
    <t>kgCO2/kg</t>
  </si>
  <si>
    <t>Sur la base de Fromage - à pâte dure (type emmental) - poids ingéré après achat en magasin 5.6 kgCO2e/kg d'ingrédient ingéré ; Fromage - à pâte molle (type camenbert) - poids ingéré après achat en magasin 4.28 kgCO2e/kg d'ingrédient ingéré ; Fromage - frais de chèvre - poids ingéré après achat en magasin 3.61 kgCO2e/kg d'ingrédient ingéré ; Beurre - doux - poids ingéré après achat en magasin 9.49 kgCO2e/kg d'ingrédient ingéré- Base carbone consultée 22/06/2019</t>
  </si>
  <si>
    <t>Lait - de vache, semi-écrémé, pasteurisé - poids ingéré après achat en magasin 1.22 kgCO2e/kg d'ingrédient ingéré - Base Carbone consultée le 22/06/19</t>
  </si>
  <si>
    <t>équivalent CO2 par unité</t>
  </si>
  <si>
    <t>équivalent carbone par unité</t>
  </si>
  <si>
    <t>Yaourt - poids ingéré après achat en magasin 2.88 kgCO2e/kg d'ingrédient ingéré - Base Carbone consultée le 22/06/19</t>
  </si>
  <si>
    <t>kgCO2e/Litre</t>
  </si>
  <si>
    <t>Essence - Supercarburant sans plomb (95, 95-E10, 98) 2.93 kgCO2e/litre - Base carbone consultée le 22/06/2019</t>
  </si>
  <si>
    <t>kgCO2e/L</t>
  </si>
  <si>
    <t>Voiture au gaz (GPL)</t>
  </si>
  <si>
    <t>Moto - cylindrée inf. à 750 cm³, essence, zone urbaine 0.204 kgCO2e/km - Base carbone consultée le 22/06/2019</t>
  </si>
  <si>
    <t>kgCOe/km</t>
  </si>
  <si>
    <t>Train grandes lignes 5.60E-3 kgCO2e/passager.km - Base carbone consultée le 22/06/2019</t>
  </si>
  <si>
    <t>kgCO2/km (pour un passager)</t>
  </si>
  <si>
    <t>kgCO2e/heure</t>
  </si>
  <si>
    <t>Sur la base de 6,63 gCO2e/(passager.km) et de 25 km/h de vitesse moyenne. Base Carbone consultée le 22/06/19- Métro/tram/Trolley, réseaux urbains Classe 1 - amont et combustion ; transports.blog.lemonde.fr, consulté le 05/09/2014</t>
  </si>
  <si>
    <t>Sur la base de 166 gCO2e/(passager.km) et de 12 km/h de vitesse moyenne - Base Carbone consultée le 22/06/19 - Bus, moyen, réseaux urbains Classe 2 (zone urbaine et interurbaine) - amont et combustion ; Mairie de Paris pour la vitesse des bus, consulté le 05/09/2014</t>
  </si>
  <si>
    <t>kgCO2e/citoyen</t>
  </si>
  <si>
    <t>kgCO2e/1000€</t>
  </si>
  <si>
    <t>kgCO2e/1000€ d'actifs</t>
  </si>
  <si>
    <t>V2.1</t>
  </si>
  <si>
    <t>Suppression des émissions évitées par le bio dans l'alimentation
Ajout d'une approche par type de repas (mode débutant)
Correction dans la formule d'aide à l'estimation énergétique
Biens et services : Ajout des postes textiles, électroménager, électronique
Energie : Ajout des postes bois bûche, granulé, propane, gaz vert
Ajout de l'impact de la démarche zéro déchet</t>
  </si>
  <si>
    <t>Soda - au cola - en magasin, prêt à consommer 1.09 kgCO2e/litre de liquide - Base carbone consultée le 22/06/2019</t>
  </si>
  <si>
    <t>Eau - en bouteille PET, plate, 0,5L - en magasin, prêt à consommer 0.393 kgCO2e/litre de liquide. Sur la base de 1,5L par jour. Base carbone consultée le 22/06/19</t>
  </si>
  <si>
    <t>kgCO2e/an</t>
  </si>
  <si>
    <t>Bois bûche (kWh)</t>
  </si>
  <si>
    <t>Granulés (kWh)</t>
  </si>
  <si>
    <t>Fournisseur électricité verte (kWh)</t>
  </si>
  <si>
    <t>Fournisseur classique (kWh)</t>
  </si>
  <si>
    <t>Viande de porc - poids net en magasin 5.89 kgCO2e/kg d'ingrédient en sortie de magasin (poids net) - Base carbone consultée le 22/06/19</t>
  </si>
  <si>
    <t>kgCO2e/kg</t>
  </si>
  <si>
    <t>Steak de boeuf - moyen France - poids net en magasin 28.6 kgCO2e/kg d'ingrédient en sortie de magasin (poids net en magasin) - Base Carbone consultée le 22/06/19</t>
  </si>
  <si>
    <t>Blanc de poulet - poids net en magasin 4.75 kgCO2e/kg d'ingrédient en sortie de magasin (poids net) et Oeuf - moyenne nationale - poids net en magasin 2.09 kgCO2e/kg d'ingrédient en sortie de magasin (poids net) - Base carbone consultée le 22/06/19</t>
  </si>
  <si>
    <t>Bar ou Dorade - d'élevage, en filet - poids net en magasin 9.59 kgCO2e/kg d'ingrédient en sortie de magasin (poids net) - Base carbone consultée le 22/06/19</t>
  </si>
  <si>
    <t xml:space="preserve">kgCO2e/kg </t>
  </si>
  <si>
    <t>Laitages (kg/ semaine)</t>
  </si>
  <si>
    <t>Arrivés par avion</t>
  </si>
  <si>
    <t>Yahourt</t>
  </si>
  <si>
    <t>de saison</t>
  </si>
  <si>
    <t>Fruit (ou légume) - générique, de saison, produit localement - poids ingéré après achat en magasin 0.267 kgCO2e/kg d'ingrédient ingéré - Base carbone consultée le 22/06/19</t>
  </si>
  <si>
    <t>Fruit (ou légume) - générique, hors saison, produit sous serre chauffée - poids net en magasin 2.24 kgCO2e/kg d'ingrédient en sortie de magasin (poids net) - Base carbone consultée le 22/06/19</t>
  </si>
  <si>
    <t>Fruit (ou légume) - générique, importé par avion, saison ou hors-saison - poids net en magasin 21.9 kgCO2e/kg d'ingrédient en sortie de magasin (poids net) - Base carbone consultée le 22/06/19</t>
  </si>
  <si>
    <t>arrivés par bateau</t>
  </si>
  <si>
    <t>Mangue - importée en bateau - poids net en magasin 0.66 kgCO2e/kg d'ingrédient en sortie de magasin (poids net) - Base carbone consultée le 22/06/19</t>
  </si>
  <si>
    <t>Pâtes - sèches - poids net en magasin 1.48 kgCO2e/kg d'ingrédient en sortie de magasin (poids net) - Base carbone consultée le 22/06/19</t>
  </si>
  <si>
    <t>Riz - jasmin, Thaïlande - poids net en magasin 4.23 kgCO2e/kg d'ingrédient en sortie de magasin (poids net) - Base carbone consultée le 22/06/19</t>
  </si>
  <si>
    <t>Arrivés par bateau</t>
  </si>
  <si>
    <t>Hors saison</t>
  </si>
  <si>
    <t>hors saison</t>
  </si>
  <si>
    <t>kgCO2 (forfait)</t>
  </si>
  <si>
    <t>gCO2e/€</t>
  </si>
  <si>
    <r>
      <rPr>
        <b/>
        <sz val="11"/>
        <color rgb="FF096377"/>
        <rFont val="Tahoma"/>
        <family val="2"/>
      </rPr>
      <t>Finances : Euros</t>
    </r>
    <r>
      <rPr>
        <sz val="9"/>
        <color rgb="FF096377"/>
        <rFont val="Tahoma"/>
        <family val="2"/>
      </rPr>
      <t xml:space="preserve">
Il faut estimer ici la valeur de vos actifs financiers (divisez par 2 si vous êtes en couple avec communauté réduite aux acquets).
L'empreinte carbone est différente entre les placements classiques et les placements responsables. Lorsque votre épargne "travaille", votre banque investit dans des projets qui peuvent plus ou moins avoir d'impact carbone en fonction de votre banque. </t>
    </r>
  </si>
  <si>
    <r>
      <rPr>
        <b/>
        <sz val="11"/>
        <color rgb="FF096377"/>
        <rFont val="Tahoma"/>
        <family val="2"/>
      </rPr>
      <t>Services Publics</t>
    </r>
    <r>
      <rPr>
        <sz val="9"/>
        <color rgb="FF096377"/>
        <rFont val="Tahoma"/>
        <family val="2"/>
      </rPr>
      <t xml:space="preserve">
Ce service est égal pour tout le monde. Il prend en compte l'ensemble des émissions de CO2 qui résultent de l'ensemble des services publics (santé, routes, éducation, justice, défense…)</t>
    </r>
  </si>
  <si>
    <t>kgCO2/m2</t>
  </si>
  <si>
    <t>Contruction</t>
  </si>
  <si>
    <t>kgCO2e/m2</t>
  </si>
  <si>
    <t>Immeubles de logements collectifs (IC) 525 kgCO2e/m² SHON amortis sur 30 ans - Base carbone ADEME consultée le 22/06/19</t>
  </si>
  <si>
    <t>Construction</t>
  </si>
  <si>
    <t>Voiture gaz (GPL)</t>
  </si>
  <si>
    <t>Boissons (litres par semaine)</t>
  </si>
  <si>
    <t>Si non, ne pas compléter et passer directement aux biens et services</t>
  </si>
  <si>
    <t>2°C</t>
  </si>
  <si>
    <t>RCP2.6</t>
  </si>
  <si>
    <t>1.0 (0.4 to 1.6)</t>
  </si>
  <si>
    <t>1.0 (0.3 to 1.7)</t>
  </si>
  <si>
    <t>kgeqCO2/hab</t>
  </si>
  <si>
    <t>RCP4.5</t>
  </si>
  <si>
    <t>1.4 (0.9 to 2.0)</t>
  </si>
  <si>
    <t>1.8 (1.1 to 2.6)</t>
  </si>
  <si>
    <t>3°C</t>
  </si>
  <si>
    <t>RCP6.0</t>
  </si>
  <si>
    <t>1.3 (0.8 to 1.8)</t>
  </si>
  <si>
    <t>2.2 (1.4 to 3.1)</t>
  </si>
  <si>
    <t>5°C</t>
  </si>
  <si>
    <t>RCP8.5</t>
  </si>
  <si>
    <t>2.0 (1.4 to 2.6)</t>
  </si>
  <si>
    <t>3.7 (2.6 to 4.8)</t>
  </si>
  <si>
    <t>6°C</t>
  </si>
  <si>
    <t>Hypothèse AC</t>
  </si>
  <si>
    <t>7°C</t>
  </si>
  <si>
    <t>8°C</t>
  </si>
  <si>
    <t>9°C</t>
  </si>
  <si>
    <t>2046-2065</t>
  </si>
  <si>
    <t>2081-2100</t>
  </si>
  <si>
    <t>Température</t>
  </si>
  <si>
    <t>Scenario</t>
  </si>
  <si>
    <t>Mean and
likely range</t>
  </si>
  <si>
    <t>Concentration en 2100, en ppm</t>
  </si>
  <si>
    <t>émissions mondiales cumulées, entre 2012 et 2100 (GtC)</t>
  </si>
  <si>
    <t>émissions mondiales moyennes entre 2012 et 2100, en GtC/an</t>
  </si>
  <si>
    <t>émissions mondiales en 2050, en GtC/an</t>
  </si>
  <si>
    <t>Emissions équivalentes par personne</t>
  </si>
  <si>
    <t>Scénario de températures</t>
  </si>
  <si>
    <t>1,5°C</t>
  </si>
  <si>
    <t xml:space="preserve">En température ça donne quoi ? </t>
  </si>
  <si>
    <t>Entre 2°C et 3°C</t>
  </si>
  <si>
    <t>Entre 3°C et 5°C</t>
  </si>
  <si>
    <t>Entre 5°C et 6°C</t>
  </si>
  <si>
    <t>Plus de 7°C</t>
  </si>
  <si>
    <t>Plus de 8°C</t>
  </si>
  <si>
    <t>Plus de 9°C</t>
  </si>
  <si>
    <t xml:space="preserve">Si tous les habitants de la Terre avaient le même mode de vie que vous, la Terre se réchaufferait de combien de degrés d'ici à 2100 ? </t>
  </si>
  <si>
    <t>Votre bilan</t>
  </si>
  <si>
    <t>Bien et services</t>
  </si>
  <si>
    <t>Finances</t>
  </si>
  <si>
    <t>Total</t>
  </si>
  <si>
    <t>Détails par postes</t>
  </si>
  <si>
    <t>Repas végétariens</t>
  </si>
  <si>
    <t>Repas à base viande rouge</t>
  </si>
  <si>
    <t>Repas à base viande blanche</t>
  </si>
  <si>
    <t>Détails (kgCO2e)</t>
  </si>
  <si>
    <t xml:space="preserve">Alimentation </t>
  </si>
  <si>
    <r>
      <t xml:space="preserve">Alimentation
</t>
    </r>
    <r>
      <rPr>
        <b/>
        <sz val="12"/>
        <color rgb="FF096377"/>
        <rFont val="Tahoma"/>
        <family val="2"/>
      </rPr>
      <t>(expert)</t>
    </r>
  </si>
  <si>
    <r>
      <rPr>
        <b/>
        <sz val="12"/>
        <color rgb="FF096377"/>
        <rFont val="Tahoma"/>
        <family val="2"/>
      </rPr>
      <t>PISTES D'AMÉLIORATION</t>
    </r>
    <r>
      <rPr>
        <sz val="10"/>
        <color rgb="FF096377"/>
        <rFont val="Tahoma"/>
        <family val="2"/>
      </rPr>
      <t xml:space="preserve">
- S'impliquer dans la vie démocratique pour faire des enjeux énergie climat une priorité à toutes les échelles. 
- S'engager au sein d'Avenir Climatique pour apprendre à parler des enjeux énergie climat
- Faire du lobbying pour le développement d'un monde bas carbone (pistes cyclables, rénovation du patrimoine public...)</t>
    </r>
  </si>
  <si>
    <t>kgCO2e</t>
  </si>
  <si>
    <t>Prix CO2 saisi (en €/tonne CO2e) * émissions (en kgCO2e) /1000</t>
  </si>
  <si>
    <t>Surcoût saisie (en €/litre) / 3,19 x émissions (en kgCO2e)</t>
  </si>
  <si>
    <t>Mode expert</t>
  </si>
  <si>
    <r>
      <rPr>
        <b/>
        <sz val="12"/>
        <color rgb="FF096377"/>
        <rFont val="Tahoma"/>
        <family val="2"/>
      </rPr>
      <t>PISTES  D'AMÉLIORATION</t>
    </r>
    <r>
      <rPr>
        <sz val="10"/>
        <color rgb="FF096377"/>
        <rFont val="Tahoma"/>
        <family val="2"/>
      </rPr>
      <t xml:space="preserve">
- Privilégier un habitat léger ou un logement vacant à réhabiliter. Les constructions neuves nécessitent de nouveaux matériaux et génèrent de l'étalement urbain. 
- Effectuer des travaux de rénovation thermique en visant l'objectif BBC rénovation. En cas de rénovation partielle, viser des niveaux de rénovation BBC compatibles. 
- Limiter la température de chauffage (NB : passer de 20 à 19° représente 7% de conso en moins). Optimiser le régulateur pour éviter de chauffer quand le logement n'est pas utilisé (nuit, journée...).
- Mettre des pulls, éviter de chauffer les pièces où l’on n’est pas souvent.
- Si chauffage au fioul ou au gaz, envisager de changer de chaudière pour des énergies renouvelables (bois, pompes à chaleur...). 
- Éviter la climatisation. En cas de fortes chaleurs, fermer les volets et privilégier les ventilateurs.
- Veiller à l'entretien du matériel électroménager. Privilégier du matériel à haute performance énergétique. 
- Privilégier la lumière naturelle (penser à l'orientation du bureau et des fauteuils/canapés pour profiter au maximum de la lumière du jour).
- Utiliser des ampoules basse consommation.</t>
    </r>
  </si>
  <si>
    <r>
      <rPr>
        <b/>
        <sz val="12"/>
        <color rgb="FF096377"/>
        <rFont val="Tahoma"/>
        <family val="2"/>
      </rPr>
      <t>PISTES D'AMÉLIORATION</t>
    </r>
    <r>
      <rPr>
        <sz val="10"/>
        <color rgb="FF096377"/>
        <rFont val="Tahoma"/>
        <family val="2"/>
      </rPr>
      <t xml:space="preserve">
- Faire du covoiturage pour les trajets réguliers/quotidiens (travail) ou les déplacements plus longs : aller sur un site de covoiturage et indiquer ses trajets réguliers ou chercher quelqu'un qui les fait aussi.
- Privilégier le vélo pour les petits déplacements. (10 km = 30 min de vélo)
- Privilégier les transports en commun.
- Limiter les déplacements en avion, préférer le train pour les voyages nationaux. 
- Déménager pour aller au travail à pied.
- Adopter une conduite souple et s'incrire à des cours d'éco-conduite. </t>
    </r>
  </si>
  <si>
    <r>
      <rPr>
        <b/>
        <sz val="12"/>
        <color rgb="FF096377"/>
        <rFont val="Tahoma"/>
        <family val="2"/>
      </rPr>
      <t>PISTES D'AMÉLIORATION</t>
    </r>
    <r>
      <rPr>
        <sz val="10"/>
        <color rgb="FF096377"/>
        <rFont val="Tahoma"/>
        <family val="2"/>
      </rPr>
      <t xml:space="preserve">
- Préférer les fruits et légumes de saison et de production locale.
- Limiter fortement la consommation de viande, notamment la viande rouge.
- Réduire au maximum la quantité de déchets produits
- Privilégier l'eau du robinet
- Adopter une démarche zéro déchets (courses en vrac...)</t>
    </r>
  </si>
  <si>
    <t>https://www.enercoop.fr/content/electricite-enercoop-quelles-emissions-de-co2-en-2016-0</t>
  </si>
  <si>
    <t>Correction bug electricité verte
Conversion des calculs en kgCO2e
Mise à jour de différents FE
Ajout des émissions liées à la construction des logements
Ajout d'une correlation bilan carbone personnel - trajectoire de réchauffement
Mise à jour de l'interface de résultats et simulation prix carbone</t>
  </si>
  <si>
    <r>
      <rPr>
        <b/>
        <sz val="12"/>
        <color rgb="FF096377"/>
        <rFont val="Tahoma"/>
        <family val="2"/>
      </rPr>
      <t>PISTES D'AMÉLIORATION</t>
    </r>
    <r>
      <rPr>
        <sz val="10"/>
        <color rgb="FF096377"/>
        <rFont val="Tahoma"/>
        <family val="2"/>
      </rPr>
      <t xml:space="preserve">
- Changer pour une banque investissant plutôt vers des projets bas-carbone
Le site http://epargneclimat.com/ apporte des éléments à ce sujet. </t>
    </r>
  </si>
  <si>
    <t xml:space="preserve">Pourquoi faire la différence entre l'électricité verte et les autres fournisseurs ? </t>
  </si>
  <si>
    <t xml:space="preserve">La distinction entre les fournisseurs d'électricité nous a été demandé par de nombreux utilisateurs de l'outil. Pour connaitre l'origine de la différence entre les 2 facteurs d'émission, l'utilisateur pourra regarder l'onglet "source de données". Cependant, nous souhaitons vous alerter sur la limite de la démarche. Une fois sur le réseau, il est impossible de faire la différence entre la source de production de l'électricité. Par ailleurs, il existe plusieurs fournisseurs d'électricité verte qui ne sont pas tous aussi vertueux qu'Enercoop (dont le facteur d'émission a été retenu dans le calcul). </t>
  </si>
  <si>
    <t>Pain, pâtes (poids sec)</t>
  </si>
  <si>
    <t>Riz (poids sec)</t>
  </si>
  <si>
    <t xml:space="preserve">Nombre d'heures passées surfer sur internet (réseaux sociaux, articles de presse, mail...)  Calculs Avenir Climatique. Hypothèses : Quantité de données consommées par heure = 0,020 Go, 1 Go = 100 gCO2e (FE de la partie réseau calculé à partir du mix électrique européen et des données du référentiel Lean ICT du Shift Project). </t>
  </si>
  <si>
    <t xml:space="preserve">Bravo ! Si tout le monde avait le même mode de vie que vous, nous limiterions le réchauffement climatique en dessous des recommandations des scientifiques. </t>
  </si>
  <si>
    <t>Waouh, vous êtes très en-dessous de la moyenne française ! Mais ce n'est pas suffisant. Continuez à montrer l'exemple et à persévérer dans vos actions : il faudrait que tout le monde soit en dessous de 1800kgCO2e par an pour limiter le problème climatique.</t>
  </si>
  <si>
    <t>Vous êtes en-dessous de la moyenne françaises ! Persévérer dans vos actions : il faudrait que tout le monde soit en dessous de 1800kgCO2e par an pour limiter le problème climatique.</t>
  </si>
  <si>
    <t>Vous êtes un peu au-dessus de la moyenne française. Avec quelques actions vous pourriez être en-dessous. Pour limiter le réchauffement climatique nous devrions tous atteindre 1800kgCO2e par an !</t>
  </si>
  <si>
    <t xml:space="preserve">Vous êtes très au-dessus de la moyenne française : c'est pas top ! Vous pouvez sans doute facilement réduire votre impact ! Ou alors peut être que vous savez digérer le sable et que Mad Max est votre film préféré ? </t>
  </si>
  <si>
    <r>
      <rPr>
        <b/>
        <sz val="12"/>
        <color rgb="FF096377"/>
        <rFont val="Tahoma"/>
        <family val="2"/>
      </rPr>
      <t>PISTES D'AMÉLIORATION</t>
    </r>
    <r>
      <rPr>
        <sz val="10"/>
        <color rgb="FF096377"/>
        <rFont val="Tahoma"/>
        <family val="2"/>
      </rPr>
      <t xml:space="preserve">
- Privilégier du matériel d'occasion ou de seconde main (récupération, friperies…)
- Allonger la durée de vie du matériel (matériel de qualité, réparation…)
- Limiter votre usage du streaming vidéo ou, à défaut, prvilégier des vidéo en faible définition. </t>
    </r>
  </si>
  <si>
    <r>
      <t xml:space="preserve">Estimation des émissions GES de l'électricité fournie par Enercoop en 2016 : 12,4 g CO2e/kWh. </t>
    </r>
    <r>
      <rPr>
        <b/>
        <sz val="10"/>
        <color rgb="FF096377"/>
        <rFont val="Tahoma"/>
        <family val="2"/>
      </rPr>
      <t>Note :</t>
    </r>
    <r>
      <rPr>
        <sz val="10"/>
        <color rgb="FF096377"/>
        <rFont val="Tahoma"/>
        <family val="2"/>
      </rPr>
      <t xml:space="preserve"> La distinction entre les fournisseurs d'électricité nous a été demandée par de nombreux utilisateurs de l'outil. Cependant, nous souhaitons vous alerter sur la limite de la démarche. Une fois sur le réseau, il est impossible de faire la différence entre la source de production de l'électricité. Par ailleurs, il existe plusieurs fournisseurs d'électricité verte qui ne sont pas tous aussi vertueux qu'Enercoop (dont le facteur d'émission lié à une production majoritairement d'origine hydraulique a été retenu dans le calcul). </t>
    </r>
  </si>
  <si>
    <t xml:space="preserve">Valeur moyenne de 7 tonne CO2 pour la construction du véhicule. Source Le véhicule électrique dans la transition écologique en France (ADEME, Carbone 4, 2017).
Précisions : 
Citadine : Emissions de GES liées à la construction = 6 tCO2e à la construction / poids = 1 tonne
Berline / SUV : Emissions de GES liées à la construction = 8 tCO2e à la construction / poids = 2 tonne
Source : </t>
  </si>
  <si>
    <t>http://www.fondation-nature-homme.org/sites/default/files/vehicule_electrique_synthese.pdf</t>
  </si>
  <si>
    <t>Construction et amortissement du véhicule</t>
  </si>
  <si>
    <t>kgCO2e/véhicule</t>
  </si>
  <si>
    <t>Véhicules possédés</t>
  </si>
  <si>
    <t>Construction et amortissement du véhicule électrique + batteries</t>
  </si>
  <si>
    <t>FE ADEME, phase amont (fabrication du véhicule) Moto - cylindrée inf. à 750 cm³, essence, zone urbaine 0.0367 kgCO2/km. Hypothèse : durée de vie du véhicule = 100 000 km</t>
  </si>
  <si>
    <t>http://www.bilans-ges.ademe.fr/</t>
  </si>
  <si>
    <t>Construction du véhicule Moto/Scooter/Mobilette</t>
  </si>
  <si>
    <t>Repas (Nombre de repas par semaine, petit déjeuner inclus)</t>
  </si>
  <si>
    <t>Total services publics</t>
  </si>
  <si>
    <r>
      <rPr>
        <b/>
        <sz val="16"/>
        <color rgb="FF096377"/>
        <rFont val="Tahoma"/>
        <family val="2"/>
      </rPr>
      <t>ÉCRAN DE SAISIE</t>
    </r>
    <r>
      <rPr>
        <sz val="16"/>
        <color rgb="FF096377"/>
        <rFont val="Tahoma"/>
        <family val="2"/>
      </rPr>
      <t xml:space="preserve">
Saisissez ici vos consommations dans les cases </t>
    </r>
    <r>
      <rPr>
        <b/>
        <sz val="16"/>
        <color theme="9"/>
        <rFont val="Tahoma"/>
        <family val="2"/>
      </rPr>
      <t>vertes</t>
    </r>
    <r>
      <rPr>
        <sz val="16"/>
        <color rgb="FF096377"/>
        <rFont val="Tahoma"/>
        <family val="2"/>
      </rPr>
      <t>.</t>
    </r>
  </si>
  <si>
    <t>V2.2</t>
  </si>
  <si>
    <t>Ajout des émissions liées à la fabrication des véhicules
Ajout d'histogrammes par poste
Mise à jour du FE internet</t>
  </si>
  <si>
    <t>Si vous possedez un véhicule, quel âge a t-il ? (si vous en possedez plusieurs, divisez par le nombre de véhicules)</t>
  </si>
  <si>
    <t>Matériel informatique-électronique (non utilisé dans la V2)</t>
  </si>
  <si>
    <t>Logement - moyenne française (non utilisé dans la V2)</t>
  </si>
  <si>
    <t>Émissions totales - moyenne française (non utilisé dans la V2)</t>
  </si>
  <si>
    <t>Services publics - moyenne française (non utilisé dans la V2)</t>
  </si>
  <si>
    <t>Finance - moyenne française (non utilisé dans la V2)</t>
  </si>
  <si>
    <t>Biens et services - moyenne française (non utilisé dans la V2)</t>
  </si>
  <si>
    <t>Alimentation - moyenne française (non utilisé dans la V2)</t>
  </si>
  <si>
    <t>Transports - moyenne française (non utilisé dans la V2)</t>
  </si>
  <si>
    <t>Empreinte carbone des français</t>
  </si>
  <si>
    <t>tCO2e/hab</t>
  </si>
  <si>
    <t>V2.3</t>
  </si>
  <si>
    <t>Corrections mineures
Mise à jour de l'intitulé de la partie "Internet" de la saisie (précision "par jour")</t>
  </si>
  <si>
    <t>contact@taca.asso.fr</t>
  </si>
  <si>
    <t xml:space="preserve">Valeur moyenne de 12 tonne CO2 pour la construction du véhicule. Source Le véhicule électrique dans la transition écologique en France (ADEME, Carbone 4, 2017).
Précisions : 
Citadine : Emissions de GES liées à la construction = 9 tCO2e à la construction / poids = 1 tonne
Berline / SUV : Emissions de GES liées à la construction = 19 tCO2e à la construction / poids = 2 tonne
Source : </t>
  </si>
  <si>
    <t>Kilométrage annuel (n'inclus pas la fabrication du véhicule)</t>
  </si>
  <si>
    <r>
      <rPr>
        <b/>
        <sz val="11"/>
        <color rgb="FF096377"/>
        <rFont val="Tahoma"/>
        <family val="2"/>
      </rPr>
      <t>Indiquez vos déplacements personnels et pas les déplacements professionnels.</t>
    </r>
    <r>
      <rPr>
        <sz val="9"/>
        <color rgb="FF096377"/>
        <rFont val="Tahoma"/>
        <family val="2"/>
      </rPr>
      <t xml:space="preserve">
</t>
    </r>
    <r>
      <rPr>
        <b/>
        <sz val="9"/>
        <color rgb="FF096377"/>
        <rFont val="Tahoma"/>
        <family val="2"/>
      </rPr>
      <t>Kilométrage annuel</t>
    </r>
    <r>
      <rPr>
        <sz val="9"/>
        <color rgb="FF096377"/>
        <rFont val="Tahoma"/>
        <family val="2"/>
      </rPr>
      <t xml:space="preserve"> de vos déplacements PERSONNELS (cela comprend le trajet maison-travail mais pas ceux effectués dans le cadre de vos fonctions)
</t>
    </r>
    <r>
      <rPr>
        <b/>
        <sz val="9"/>
        <color rgb="FF096377"/>
        <rFont val="Tahoma"/>
        <family val="2"/>
      </rPr>
      <t xml:space="preserve">Nombre moyen d'usagers </t>
    </r>
    <r>
      <rPr>
        <sz val="9"/>
        <color rgb="FF096377"/>
        <rFont val="Tahoma"/>
        <family val="2"/>
      </rPr>
      <t xml:space="preserve">: les personnes vous accompagnant de manière régulière et partageant donc l'usage du vehicule.
</t>
    </r>
    <r>
      <rPr>
        <b/>
        <sz val="9"/>
        <color rgb="FF096377"/>
        <rFont val="Tahoma"/>
        <family val="2"/>
      </rPr>
      <t>Conso moyenne aux 100</t>
    </r>
    <r>
      <rPr>
        <sz val="9"/>
        <color rgb="FF096377"/>
        <rFont val="Tahoma"/>
        <family val="2"/>
      </rPr>
      <t xml:space="preserve"> : ci-dessous des valeurs standards si vous ne savez pas la consommation de votre voiture (source, guide facteurs émissions ADEME V6) :
* Essence : 6L (5CV et moins), 7L (6 à 10 CV), 11L (11 CV et plus)
* Diesel : 7L (5CV et moins), 9L (6 à 10 CV), 11L (11 CV et plus)
* Hybride : enlever 15 % aux consommations ci-dessus (source ADEME : http://www2.ademe.fr/servlet/KBaseShow?catid=13655)
</t>
    </r>
    <r>
      <rPr>
        <b/>
        <sz val="9"/>
        <color rgb="FF096377"/>
        <rFont val="Tahoma"/>
        <family val="2"/>
      </rPr>
      <t>Âge du véhicule :</t>
    </r>
    <r>
      <rPr>
        <sz val="9"/>
        <color rgb="FF096377"/>
        <rFont val="Tahoma"/>
        <family val="2"/>
      </rPr>
      <t xml:space="preserve"> l'âge du véhicule est demandé pour estimer le poids carbone lié à la fabrication du véhicule. L'impact annuel de fabrication du véhicule est correspond à l'impact de sa fabrication, divisé par le nombre d'années d'utilisation (amortissement).
Exemple : 
- vous possédez une voiture qui a 10 ans, mettre 10 ;
- vous possédez deux voitures qui ont une moyenne de 7 ans, indiquer 7/2 ;
- si votre voiture a moins d'un an, indiquer 1 (et non pas un chiffre &lt; 1).
</t>
    </r>
    <r>
      <rPr>
        <b/>
        <sz val="9"/>
        <color rgb="FF096377"/>
        <rFont val="Tahoma"/>
        <family val="2"/>
      </rPr>
      <t>Attention pour l'avion</t>
    </r>
    <r>
      <rPr>
        <sz val="9"/>
        <color rgb="FF096377"/>
        <rFont val="Tahoma"/>
        <family val="2"/>
      </rPr>
      <t xml:space="preserve"> : on vous demande le nombre d'heures par an dans l'avion.
</t>
    </r>
    <r>
      <rPr>
        <b/>
        <sz val="9"/>
        <color rgb="FF096377"/>
        <rFont val="Tahoma"/>
        <family val="2"/>
      </rPr>
      <t>Attention pour le train et les transports en commun</t>
    </r>
    <r>
      <rPr>
        <sz val="9"/>
        <color rgb="FF096377"/>
        <rFont val="Tahoma"/>
        <family val="2"/>
      </rPr>
      <t xml:space="preserve"> : le nombre d'heures par semaine à indiquer est le nombre d'heure effectivement passées dans le bus ou le métro, il ne faut pas compter le temps d'attente aux correspondances. Le train de banlieue et le RER comptent dans le temps de métro et non de train.</t>
    </r>
  </si>
  <si>
    <t>support-micmac@avenirclimatique.org</t>
  </si>
  <si>
    <t>V2.4</t>
  </si>
  <si>
    <t>Corrections mineures sur les facteurs d'émission et les explications (impact transport, véhicules).
Mise à jour des adresses e-mail</t>
  </si>
  <si>
    <t>Voiture particulière - Coeur de gamme - Véhicule compact - Eléctrique consulté le 25/02/2020 (phase amont carburant)</t>
  </si>
  <si>
    <t>V2.5</t>
  </si>
  <si>
    <t>Nombre de véhicules possédés</t>
  </si>
  <si>
    <t>Vidéo sur internet (HD)  (ancien FE non utilisé)</t>
  </si>
  <si>
    <t>Internet  (ancien FE non utilisé)</t>
  </si>
  <si>
    <t xml:space="preserve">SD 0,200 kgCO2e/h : Nombre d'heures passées à un usage intense en données (vidéo, sites lourds....).  Calculs Avenir Climatique. Hypothèses : Quantité de données consommées par heure = 2 Go, 1 Go = 100 gCO2e (FE de la partie réseau calculé à partir du mix électrique européen et des données du référentiel Lean ICT du Shift Project). 
HD 1 kgCO2/h : Nombre d'heures passées à regarder des vidéo en HD (&gt;720p)  Calculs Avenir Climatique. Hypothèses : Quantité de données consommées par heure = 10 Go, 1 Go = 100 gCO2e (FE de la partie réseau calculé à partir du mix électrique européen et des données du référentiel Lean ICT du Shift Project). </t>
  </si>
  <si>
    <t>Calculs carbon brief AIE</t>
  </si>
  <si>
    <t>https://www.carbonbrief.org/factcheck-what-is-the-carbon-footprint-of-streaming-video-on-netflix</t>
  </si>
  <si>
    <t>Nombre d'heures par jour sur internet (mail, web, streaming vidéo…)</t>
  </si>
  <si>
    <t xml:space="preserve">Correction mineures (véhicule renouvelé tous les X ans)
Correction du FE liée à l'usage d'internet et du streaming. </t>
  </si>
  <si>
    <t>V2.6</t>
  </si>
  <si>
    <r>
      <t xml:space="preserve">En règle générale, les données à rentrer dans cet outil sont vos </t>
    </r>
    <r>
      <rPr>
        <b/>
        <sz val="9"/>
        <color rgb="FF096377"/>
        <rFont val="Tahoma"/>
        <family val="2"/>
      </rPr>
      <t>données personnelles</t>
    </r>
    <r>
      <rPr>
        <sz val="9"/>
        <color rgb="FF096377"/>
        <rFont val="Tahoma"/>
        <family val="2"/>
      </rPr>
      <t xml:space="preserve"> et pas celles de votre foyer.
</t>
    </r>
    <r>
      <rPr>
        <b/>
        <sz val="9"/>
        <color rgb="FF096377"/>
        <rFont val="Tahoma"/>
        <family val="2"/>
      </rPr>
      <t xml:space="preserve">Le logement est un cas particulier </t>
    </r>
    <r>
      <rPr>
        <sz val="9"/>
        <color rgb="FF096377"/>
        <rFont val="Tahoma"/>
        <family val="2"/>
      </rPr>
      <t xml:space="preserve">: il faut rentrer les </t>
    </r>
    <r>
      <rPr>
        <b/>
        <sz val="9"/>
        <color rgb="FF096377"/>
        <rFont val="Tahoma"/>
        <family val="2"/>
      </rPr>
      <t>consommations de votre foyer</t>
    </r>
    <r>
      <rPr>
        <sz val="9"/>
        <color rgb="FF096377"/>
        <rFont val="Tahoma"/>
        <family val="2"/>
      </rPr>
      <t xml:space="preserve"> et son nombre d'occupants. L'outil divise les émissions du foyer en part égale pour chaque occupant.
La surface du logement est utilisée dans la partie Résultats pour calculer l’impact de sa construction, et pour comparer sa consommation avec celle d’un logement standard au m2.
</t>
    </r>
    <r>
      <rPr>
        <b/>
        <sz val="9"/>
        <color rgb="FF096377"/>
        <rFont val="Tahoma"/>
        <family val="2"/>
      </rPr>
      <t xml:space="preserve">Astuce </t>
    </r>
    <r>
      <rPr>
        <sz val="9"/>
        <color rgb="FF096377"/>
        <rFont val="Tahoma"/>
        <family val="2"/>
      </rPr>
      <t xml:space="preserve">: Vous trouverez vos consommations annuelles d'énergie sur vos factures de gaz et d'électricité ou sur votre compte en ligne sur le site de votre fournisseur.
Si vous utilisez plusieurs logements (par exemple une residence secondaire) il faut se debrouiller à "ramener" ces consommations dans celles du logement principal.
Hors métropole, le facteur d'émission de l'électricité peut être différent ! Consulter la base carbone.
</t>
    </r>
    <r>
      <rPr>
        <b/>
        <sz val="9"/>
        <color rgb="FF096377"/>
        <rFont val="Tahoma"/>
        <family val="2"/>
      </rPr>
      <t xml:space="preserve">Electricité verte : </t>
    </r>
    <r>
      <rPr>
        <sz val="9"/>
        <color rgb="FF096377"/>
        <rFont val="Tahoma"/>
        <family val="2"/>
      </rPr>
      <t xml:space="preserve">La distinction entre les fournisseurs d'électricité nous a été demandée par de nombreux utilisateurs de l'outil. Pour connaitre l'origine de la différence entre les 2 facteurs d'émission, l'utilisateur pourra regarder l'onglet "source de données". Cependant, nous souhaitons vous alerter sur la limite de la démarche. Une fois sur le réseau, il est impossible de faire la différence entre la source de production de l'électricité. Par ailleurs, il existe plusieurs fournisseurs d'électricité verte qui ne sont pas tous aussi vertueux qu'Enercoop (dont le facteur d'émission lié à une production majoritairement d'origine hydraulique a été retenu dans le calcul).
</t>
    </r>
    <r>
      <rPr>
        <b/>
        <sz val="9"/>
        <color rgb="FF096377"/>
        <rFont val="Tahoma"/>
        <family val="2"/>
      </rPr>
      <t>Pompe à chaleur / Chauffe-eau solaire / Panneaux PV :</t>
    </r>
    <r>
      <rPr>
        <sz val="9"/>
        <color rgb="FF096377"/>
        <rFont val="Tahoma"/>
        <family val="2"/>
      </rPr>
      <t xml:space="preserve"> Ne font pas l'objet d'un calcul spécifiques. Les consommation d'électricité de la PAC peuvent être incluses dans le poste électricité. La fabrication des panneaux peut être prise en compte en amortissement dans le poste bien et services (ajouter le cout d'achat des panneaux divisé par leur durée de vie). 
</t>
    </r>
  </si>
  <si>
    <t>Correction mineures (notice sur l'impact construction)
Correction du calcul Total alimentation (expert) et du totalisateur "Train" dans l'onglet "Résultats".</t>
  </si>
  <si>
    <t>V2.7</t>
  </si>
  <si>
    <t>https://ree.developpement-durable.gouv.fr/themes/defis-environnementaux/changement-climatique/empreinte-carbone/article/l-empreinte-carbone-de-la-France</t>
  </si>
  <si>
    <t>Rapport sur l'état de l'environnement, fiche thématique 'L'empreinte carbone en France', 29 mai 2019. Consulté le 29/11/2020.</t>
  </si>
  <si>
    <t>https://avenirclimatique.org/micmac/2013-Epargneclimat.com-%20Classement%20banques.pdf</t>
  </si>
  <si>
    <t>https://www.financeresponsable.org/</t>
  </si>
  <si>
    <t>Changement des données et de la source pour les données moyennes françaises
Mise à jour de la source des données pour la partie "Finance" (liens cassés)
Ajouts d'item pour la FAQ</t>
  </si>
  <si>
    <t>Yaourt</t>
  </si>
  <si>
    <t>http://www.carbone4.com/notre-revolution-carbone/</t>
  </si>
  <si>
    <t>Le calcul de mon bilan carbone personnel prend-il en compte les émissions engendrées par mon activité professionnelle ?</t>
  </si>
  <si>
    <t>La méthode BILAN CARBONE® développée pour les entreprises et les collectivités consiste à évaluer l'ensemble des gaz à effet de serre émis par leur activité afin d'évaluer la dépendance de leur mode de fonctionnement à ces émissions, et de leur permettre d'anticiper une probable hausse du coût des énergies fossiles, ainsi que du coût des émissions elles-mêmes (que ce soit par l'intermédiaire de taxes ou de quotats) en faisant porter leurs efforts de réduction là où ceux-ci auront l'efficacité la plus grande.
Du point de vue du premier de ces objectifs (évaluer la dépendance d'un mode de vie à un montant d'émission de gaz à effet de serre), l'adaptation de cette méthode au cas d'un particulier nécessiterait en toute logique de prendre en compte les émissions de gaz à effet de serre induites par l'activité de son employeur : chaque individu qui gagne sa vie en travaillant pour un employeur est d'un certain point de vue fortement dépendant de cet employeur!
Mais du point de vue du second objectif, qui est d'évaluer les meilleurs moyens de parvenir à une réduction des émissions, alors la prise en compte des émissions induites par l'activité profesionnelle se justifie beaucoup moins : à titre personnel, un employé n'a souvent que peu de prise sur le mode de fonctionnement global de son entreprise, et de toutes les manières lorsque c'est le cas c'est à titre professionnel et non à titre personnel.
Par ailleurs, la diversité des activités professionnelles rend de toutes les façons impossible une prise en compte un tant soit peu exhaustive des émissions associées dans le cadre d'un outil public en ligne comme celui proposé sur ce site.
Pour ces raisons, seules les émissions liées aux trajets domicile-travail sont prises en compte, car ce sont à la fois celles pour lesquelles cette prise en compte est la plus simple (le nombre de manières de se rendre à son travail est moins important que le nombre de métiers possibles) et aussi celles sur lesquelles les individus ont le plus d'impact immédiat (il est plus facile de changer son mode de déplacement domicile-travail ou de choisir un lieu de résidence proche de son travail ou relié par des transports en commun que de modifier le modèle économique de son employeur ou d'en changer).</t>
  </si>
  <si>
    <t xml:space="preserve">A quoi correspond l'impact "finance" ? </t>
  </si>
  <si>
    <t>Il faut estimer ici la valeur de vos actifs financiers (divisez par 2 si vous êtes en couple avec communauté réduite aux acquets).
Notre intégration de la finance dans le bilan carbone est à visée éducative ; si on veut être plus rigoureux, il convient de compter séparément l'impact carbone de sa consommation, et l'impact carbone de son épargne. Car les deux reviennent à compter la même chose (à savoir la somme des émissions GES émis par les activités humaines), de deux manières différentes. Soit par le biais du consommateur, soit par le biais du financeur. Il existe également une 3e méthode de calcul qui consisterait à compter uniquement l'impact carbone des producteurs (les entreprises, l'industrie, les collectivités locales...).
A mélanger les approches, on réalise en fait des doubles comptes : on compte deux fois la même chose.
Dans le calculateur, nous prenons en compte les dividendes plutôt que de l'épargne. Cela permet de limiter le double-compte mentionné plus haut, en faisant l'hypothèse qu'une partie de l'impact carbone du producteur/financeur est attribuable au consommateur au pro rata des dividendes qu'il/elle touche.</t>
  </si>
  <si>
    <t>MicMac V2.7 - 29/11/2020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</si>
</sst>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 #,##0.00\ &quot;€&quot;_-;\-* #,##0.00\ &quot;€&quot;_-;_-* &quot;-&quot;??\ &quot;€&quot;_-;_-@_-"/>
    <numFmt numFmtId="43" formatCode="_-* #,##0.00_-;\-* #,##0.00_-;_-* &quot;-&quot;??_-;_-@_-"/>
    <numFmt numFmtId="164" formatCode="_-* #,##0.00\ _€_-;\-* #,##0.00\ _€_-;_-* &quot;-&quot;??\ _€_-;_-@_-"/>
    <numFmt numFmtId="165" formatCode="0.0"/>
    <numFmt numFmtId="166" formatCode="_-* #,##0.0\ _€_-;\-* #,##0.0\ _€_-;_-* &quot;-&quot;??\ _€_-;_-@_-"/>
    <numFmt numFmtId="167" formatCode="_-* #,##0\ _€_-;\-* #,##0\ _€_-;_-* &quot;-&quot;??\ _€_-;_-@_-"/>
    <numFmt numFmtId="168" formatCode="_-* #,##0.000\ _€_-;\-* #,##0.000\ _€_-;_-* &quot;-&quot;??\ _€_-;_-@_-"/>
    <numFmt numFmtId="169" formatCode="#,##0.00_ ;\-#,##0.00\ "/>
    <numFmt numFmtId="170" formatCode="#,##0.0&quot; kWh&quot;"/>
    <numFmt numFmtId="171" formatCode="_-* #,##0.0000\ _€_-;\-* #,##0.0000\ _€_-;_-* &quot;-&quot;??\ _€_-;_-@_-"/>
    <numFmt numFmtId="172" formatCode="_-* #,##0.00000\ _€_-;\-* #,##0.00000\ _€_-;_-* &quot;-&quot;??\ _€_-;_-@_-"/>
    <numFmt numFmtId="173" formatCode="0.000"/>
    <numFmt numFmtId="174" formatCode="0.0000"/>
    <numFmt numFmtId="175" formatCode="_-* #,##0_-;\-* #,##0_-;_-* &quot;-&quot;??_-;_-@_-"/>
    <numFmt numFmtId="176" formatCode="#,##0.0"/>
  </numFmts>
  <fonts count="66" x14ac:knownFonts="1">
    <font>
      <sz val="10"/>
      <name val="Arial"/>
      <family val="2"/>
    </font>
    <font>
      <sz val="11"/>
      <color theme="1"/>
      <name val="Calibri"/>
      <family val="2"/>
      <scheme val="minor"/>
    </font>
    <font>
      <sz val="14"/>
      <name val="Arial"/>
      <family val="2"/>
    </font>
    <font>
      <b/>
      <sz val="10"/>
      <name val="Arial"/>
      <family val="2"/>
    </font>
    <font>
      <u/>
      <sz val="10"/>
      <color indexed="12"/>
      <name val="Arial"/>
      <family val="2"/>
    </font>
    <font>
      <sz val="10"/>
      <color indexed="57"/>
      <name val="Arial"/>
      <family val="2"/>
    </font>
    <font>
      <b/>
      <sz val="14"/>
      <color indexed="57"/>
      <name val="Arial"/>
      <family val="2"/>
    </font>
    <font>
      <b/>
      <sz val="12"/>
      <name val="Arial"/>
      <family val="2"/>
    </font>
    <font>
      <u/>
      <sz val="14"/>
      <color indexed="12"/>
      <name val="Arial"/>
      <family val="2"/>
    </font>
    <font>
      <sz val="11"/>
      <color theme="0"/>
      <name val="Calibri"/>
      <family val="2"/>
      <scheme val="minor"/>
    </font>
    <font>
      <b/>
      <sz val="14.5"/>
      <name val="Arial"/>
      <family val="2"/>
    </font>
    <font>
      <b/>
      <sz val="11"/>
      <name val="Arial"/>
      <family val="2"/>
    </font>
    <font>
      <b/>
      <sz val="11"/>
      <color theme="0"/>
      <name val="Arial"/>
      <family val="2"/>
    </font>
    <font>
      <b/>
      <sz val="12"/>
      <color theme="9" tint="-0.249977111117893"/>
      <name val="Arial"/>
      <family val="2"/>
    </font>
    <font>
      <b/>
      <sz val="12"/>
      <color theme="3" tint="-0.499984740745262"/>
      <name val="Arial"/>
      <family val="2"/>
    </font>
    <font>
      <sz val="16"/>
      <color rgb="FF096377"/>
      <name val="Arial"/>
      <family val="2"/>
    </font>
    <font>
      <b/>
      <sz val="16"/>
      <color rgb="FFF39912"/>
      <name val="Arial"/>
      <family val="2"/>
    </font>
    <font>
      <b/>
      <sz val="18"/>
      <color rgb="FF096377"/>
      <name val="Tahoma"/>
      <family val="2"/>
    </font>
    <font>
      <b/>
      <sz val="12"/>
      <color rgb="FF096377"/>
      <name val="Tahoma"/>
      <family val="2"/>
    </font>
    <font>
      <b/>
      <sz val="11"/>
      <color rgb="FF096377"/>
      <name val="Tahoma"/>
      <family val="2"/>
    </font>
    <font>
      <b/>
      <sz val="10"/>
      <color rgb="FF096377"/>
      <name val="Tahoma"/>
      <family val="2"/>
    </font>
    <font>
      <b/>
      <u/>
      <sz val="8"/>
      <color rgb="FF096377"/>
      <name val="Tahoma"/>
      <family val="2"/>
    </font>
    <font>
      <sz val="16"/>
      <color rgb="FF096377"/>
      <name val="Tahoma"/>
      <family val="2"/>
    </font>
    <font>
      <b/>
      <sz val="16"/>
      <color rgb="FF096377"/>
      <name val="Tahoma"/>
      <family val="2"/>
    </font>
    <font>
      <sz val="11"/>
      <color rgb="FF096377"/>
      <name val="Tahoma"/>
      <family val="2"/>
    </font>
    <font>
      <b/>
      <sz val="11"/>
      <color rgb="FFF39912"/>
      <name val="Tahoma"/>
      <family val="2"/>
    </font>
    <font>
      <b/>
      <sz val="12"/>
      <color rgb="FFF39912"/>
      <name val="Tahoma"/>
      <family val="2"/>
    </font>
    <font>
      <b/>
      <sz val="26"/>
      <color rgb="FF096377"/>
      <name val="Tahoma"/>
      <family val="2"/>
    </font>
    <font>
      <sz val="12"/>
      <color rgb="FF096377"/>
      <name val="Tahoma"/>
      <family val="2"/>
    </font>
    <font>
      <sz val="10"/>
      <color rgb="FF096377"/>
      <name val="Tahoma"/>
      <family val="2"/>
    </font>
    <font>
      <sz val="18"/>
      <color rgb="FF096377"/>
      <name val="Tahoma"/>
      <family val="2"/>
    </font>
    <font>
      <sz val="14"/>
      <color rgb="FF096377"/>
      <name val="Tahoma"/>
      <family val="2"/>
    </font>
    <font>
      <b/>
      <sz val="10"/>
      <name val="Tahoma"/>
      <family val="2"/>
    </font>
    <font>
      <u/>
      <sz val="10"/>
      <color indexed="12"/>
      <name val="Tahoma"/>
      <family val="2"/>
    </font>
    <font>
      <sz val="12"/>
      <name val="Tahoma"/>
      <family val="2"/>
    </font>
    <font>
      <u/>
      <sz val="10"/>
      <color rgb="FF096377"/>
      <name val="Arial"/>
      <family val="2"/>
    </font>
    <font>
      <sz val="9"/>
      <color rgb="FF096377"/>
      <name val="Tahoma"/>
      <family val="2"/>
    </font>
    <font>
      <b/>
      <sz val="9"/>
      <color rgb="FF096377"/>
      <name val="Tahoma"/>
      <family val="2"/>
    </font>
    <font>
      <u/>
      <sz val="9"/>
      <color rgb="FF096377"/>
      <name val="Tahoma"/>
      <family val="2"/>
    </font>
    <font>
      <sz val="10"/>
      <name val="Arial"/>
      <family val="2"/>
    </font>
    <font>
      <b/>
      <sz val="8"/>
      <name val="Arial"/>
      <family val="2"/>
    </font>
    <font>
      <sz val="8"/>
      <name val="Arial"/>
      <family val="2"/>
    </font>
    <font>
      <b/>
      <sz val="8"/>
      <color rgb="FF096377"/>
      <name val="Tahoma"/>
      <family val="2"/>
    </font>
    <font>
      <sz val="20"/>
      <color rgb="FF096377"/>
      <name val="Tahoma"/>
      <family val="2"/>
    </font>
    <font>
      <b/>
      <sz val="20"/>
      <color rgb="FF096377"/>
      <name val="Tahoma"/>
      <family val="2"/>
    </font>
    <font>
      <sz val="10"/>
      <color theme="0"/>
      <name val="Arial"/>
      <family val="2"/>
    </font>
    <font>
      <sz val="8"/>
      <name val="Arial"/>
      <family val="2"/>
    </font>
    <font>
      <i/>
      <sz val="12"/>
      <color rgb="FF096377"/>
      <name val="Tahoma"/>
      <family val="2"/>
    </font>
    <font>
      <i/>
      <sz val="10"/>
      <color rgb="FF096377"/>
      <name val="Tahoma"/>
      <family val="2"/>
    </font>
    <font>
      <sz val="10"/>
      <color rgb="FF096377"/>
      <name val="Arial"/>
      <family val="2"/>
    </font>
    <font>
      <sz val="11"/>
      <name val="Calibri"/>
      <family val="2"/>
      <scheme val="minor"/>
    </font>
    <font>
      <b/>
      <sz val="18"/>
      <color rgb="FF096377"/>
      <name val="Arial"/>
      <family val="2"/>
    </font>
    <font>
      <b/>
      <sz val="10"/>
      <color rgb="FF096377"/>
      <name val="Arial"/>
      <family val="2"/>
    </font>
    <font>
      <b/>
      <sz val="22"/>
      <color theme="5" tint="-0.249977111117893"/>
      <name val="Tahoma"/>
      <family val="2"/>
    </font>
    <font>
      <sz val="10"/>
      <name val="Tahoma"/>
      <family val="2"/>
    </font>
    <font>
      <b/>
      <sz val="12"/>
      <name val="Tahoma"/>
      <family val="2"/>
    </font>
    <font>
      <b/>
      <sz val="12"/>
      <color indexed="57"/>
      <name val="Tahoma"/>
      <family val="2"/>
    </font>
    <font>
      <sz val="12"/>
      <color rgb="FFF39912"/>
      <name val="Tahoma"/>
      <family val="2"/>
    </font>
    <font>
      <b/>
      <sz val="18"/>
      <color rgb="FFF39912"/>
      <name val="Tahoma"/>
      <family val="2"/>
    </font>
    <font>
      <b/>
      <sz val="12"/>
      <color theme="6"/>
      <name val="Tahoma"/>
      <family val="2"/>
    </font>
    <font>
      <b/>
      <sz val="12"/>
      <color rgb="FFF39912"/>
      <name val="Arial"/>
      <family val="2"/>
    </font>
    <font>
      <sz val="10"/>
      <color rgb="FFFF0000"/>
      <name val="Arial"/>
      <family val="2"/>
    </font>
    <font>
      <b/>
      <sz val="12"/>
      <color theme="7"/>
      <name val="Tahoma"/>
      <family val="2"/>
    </font>
    <font>
      <b/>
      <sz val="16"/>
      <color theme="9"/>
      <name val="Tahoma"/>
      <family val="2"/>
    </font>
    <font>
      <sz val="8"/>
      <color theme="5"/>
      <name val="Arial"/>
      <family val="2"/>
    </font>
    <font>
      <strike/>
      <sz val="11"/>
      <color rgb="FF096377"/>
      <name val="Tahoma"/>
      <family val="2"/>
    </font>
  </fonts>
  <fills count="15">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2"/>
      </patternFill>
    </fill>
    <fill>
      <patternFill patternType="solid">
        <fgColor theme="4" tint="0.79998168889431442"/>
        <bgColor indexed="26"/>
      </patternFill>
    </fill>
    <fill>
      <patternFill patternType="solid">
        <fgColor theme="8" tint="0.79998168889431442"/>
        <bgColor indexed="64"/>
      </patternFill>
    </fill>
    <fill>
      <patternFill patternType="solid">
        <fgColor rgb="FFE3F3D1"/>
        <bgColor indexed="64"/>
      </patternFill>
    </fill>
    <fill>
      <patternFill patternType="solid">
        <fgColor rgb="FFF5E99B"/>
        <bgColor indexed="64"/>
      </patternFill>
    </fill>
    <fill>
      <patternFill patternType="solid">
        <fgColor rgb="FFF5E99B"/>
        <bgColor indexed="26"/>
      </patternFill>
    </fill>
    <fill>
      <patternFill patternType="solid">
        <fgColor rgb="FFF5E9B1"/>
        <bgColor indexed="64"/>
      </patternFill>
    </fill>
    <fill>
      <patternFill patternType="solid">
        <fgColor rgb="FFF3E79B"/>
        <bgColor indexed="26"/>
      </patternFill>
    </fill>
    <fill>
      <patternFill patternType="solid">
        <fgColor rgb="FFF3E79B"/>
        <bgColor indexed="64"/>
      </patternFill>
    </fill>
    <fill>
      <patternFill patternType="solid">
        <fgColor rgb="FFF3E9B1"/>
        <bgColor indexed="64"/>
      </patternFill>
    </fill>
    <fill>
      <patternFill patternType="solid">
        <fgColor theme="2" tint="0.39997558519241921"/>
        <bgColor indexed="64"/>
      </patternFill>
    </fill>
  </fills>
  <borders count="73">
    <border>
      <left/>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3"/>
      </top>
      <bottom style="thin">
        <color indexed="63"/>
      </bottom>
      <diagonal/>
    </border>
    <border>
      <left/>
      <right style="thick">
        <color auto="1"/>
      </right>
      <top/>
      <bottom/>
      <diagonal/>
    </border>
    <border>
      <left/>
      <right/>
      <top style="thick">
        <color auto="1"/>
      </top>
      <bottom/>
      <diagonal/>
    </border>
    <border>
      <left/>
      <right/>
      <top/>
      <bottom style="thick">
        <color indexed="64"/>
      </bottom>
      <diagonal/>
    </border>
    <border>
      <left style="medium">
        <color auto="1"/>
      </left>
      <right style="thick">
        <color indexed="64"/>
      </right>
      <top style="medium">
        <color auto="1"/>
      </top>
      <bottom style="medium">
        <color auto="1"/>
      </bottom>
      <diagonal/>
    </border>
    <border>
      <left style="thick">
        <color auto="1"/>
      </left>
      <right/>
      <top/>
      <bottom/>
      <diagonal/>
    </border>
    <border>
      <left/>
      <right/>
      <top/>
      <bottom style="medium">
        <color rgb="FFF5E9B1"/>
      </bottom>
      <diagonal/>
    </border>
    <border>
      <left style="medium">
        <color rgb="FFF5E9B1"/>
      </left>
      <right style="medium">
        <color rgb="FFF5E9B1"/>
      </right>
      <top style="medium">
        <color rgb="FFF5E9B1"/>
      </top>
      <bottom style="medium">
        <color rgb="FFF5E9B1"/>
      </bottom>
      <diagonal/>
    </border>
    <border>
      <left style="medium">
        <color rgb="FFF5E9B1"/>
      </left>
      <right/>
      <top/>
      <bottom style="medium">
        <color rgb="FFF5E9B1"/>
      </bottom>
      <diagonal/>
    </border>
    <border>
      <left/>
      <right style="medium">
        <color rgb="FFF5E9B1"/>
      </right>
      <top/>
      <bottom style="medium">
        <color rgb="FFF5E9B1"/>
      </bottom>
      <diagonal/>
    </border>
    <border>
      <left style="medium">
        <color rgb="FFF5E9B1"/>
      </left>
      <right/>
      <top style="medium">
        <color rgb="FFF5E9B1"/>
      </top>
      <bottom style="medium">
        <color rgb="FFF5E9B1"/>
      </bottom>
      <diagonal/>
    </border>
    <border>
      <left/>
      <right/>
      <top style="medium">
        <color rgb="FFF5E9B1"/>
      </top>
      <bottom style="medium">
        <color rgb="FFF5E9B1"/>
      </bottom>
      <diagonal/>
    </border>
    <border>
      <left/>
      <right style="medium">
        <color rgb="FFF5E9B1"/>
      </right>
      <top style="medium">
        <color rgb="FFF5E9B1"/>
      </top>
      <bottom style="medium">
        <color rgb="FFF5E9B1"/>
      </bottom>
      <diagonal/>
    </border>
    <border>
      <left/>
      <right/>
      <top style="medium">
        <color rgb="FFF5E9B1"/>
      </top>
      <bottom/>
      <diagonal/>
    </border>
    <border>
      <left/>
      <right style="medium">
        <color rgb="FFF5E9B1"/>
      </right>
      <top/>
      <bottom/>
      <diagonal/>
    </border>
    <border>
      <left style="medium">
        <color rgb="FFF5E9B1"/>
      </left>
      <right style="medium">
        <color rgb="FFF5E9B1"/>
      </right>
      <top/>
      <bottom style="medium">
        <color rgb="FFF5E9B1"/>
      </bottom>
      <diagonal/>
    </border>
    <border>
      <left style="medium">
        <color rgb="FFF5E9B1"/>
      </left>
      <right style="medium">
        <color rgb="FFF5E9B1"/>
      </right>
      <top style="medium">
        <color rgb="FFF5E9B1"/>
      </top>
      <bottom/>
      <diagonal/>
    </border>
    <border>
      <left style="medium">
        <color rgb="FFF5E9B1"/>
      </left>
      <right style="medium">
        <color rgb="FFF5E9B1"/>
      </right>
      <top/>
      <bottom/>
      <diagonal/>
    </border>
    <border>
      <left style="medium">
        <color rgb="FFF5E9B1"/>
      </left>
      <right/>
      <top/>
      <bottom/>
      <diagonal/>
    </border>
    <border>
      <left/>
      <right style="medium">
        <color rgb="FFF3E79B"/>
      </right>
      <top/>
      <bottom/>
      <diagonal/>
    </border>
    <border>
      <left style="mediumDashed">
        <color rgb="FFF39912"/>
      </left>
      <right style="mediumDashed">
        <color rgb="FFF39912"/>
      </right>
      <top style="mediumDashed">
        <color rgb="FFF39912"/>
      </top>
      <bottom style="mediumDashed">
        <color rgb="FFF39912"/>
      </bottom>
      <diagonal/>
    </border>
    <border>
      <left/>
      <right style="mediumDashed">
        <color rgb="FFF39912"/>
      </right>
      <top/>
      <bottom style="medium">
        <color rgb="FFF3E79B"/>
      </bottom>
      <diagonal/>
    </border>
    <border>
      <left/>
      <right style="mediumDashed">
        <color rgb="FFF39912"/>
      </right>
      <top style="medium">
        <color rgb="FFF3E79B"/>
      </top>
      <bottom style="medium">
        <color rgb="FFF3E79B"/>
      </bottom>
      <diagonal/>
    </border>
    <border>
      <left style="mediumDashed">
        <color rgb="FFF39912"/>
      </left>
      <right/>
      <top style="mediumDashed">
        <color rgb="FFF39912"/>
      </top>
      <bottom/>
      <diagonal/>
    </border>
    <border>
      <left/>
      <right/>
      <top style="mediumDashed">
        <color rgb="FFF39912"/>
      </top>
      <bottom/>
      <diagonal/>
    </border>
    <border>
      <left/>
      <right style="mediumDashed">
        <color rgb="FFF39912"/>
      </right>
      <top style="mediumDashed">
        <color rgb="FFF39912"/>
      </top>
      <bottom/>
      <diagonal/>
    </border>
    <border>
      <left style="mediumDashed">
        <color rgb="FFF39912"/>
      </left>
      <right/>
      <top/>
      <bottom/>
      <diagonal/>
    </border>
    <border>
      <left/>
      <right style="mediumDashed">
        <color rgb="FFF39912"/>
      </right>
      <top/>
      <bottom/>
      <diagonal/>
    </border>
    <border>
      <left style="mediumDashed">
        <color rgb="FFF39912"/>
      </left>
      <right/>
      <top/>
      <bottom style="mediumDashed">
        <color rgb="FFF39912"/>
      </bottom>
      <diagonal/>
    </border>
    <border>
      <left/>
      <right/>
      <top/>
      <bottom style="mediumDashed">
        <color rgb="FFF39912"/>
      </bottom>
      <diagonal/>
    </border>
    <border>
      <left/>
      <right style="mediumDashed">
        <color rgb="FFF39912"/>
      </right>
      <top/>
      <bottom style="mediumDashed">
        <color rgb="FFF39912"/>
      </bottom>
      <diagonal/>
    </border>
    <border>
      <left/>
      <right/>
      <top/>
      <bottom style="medium">
        <color rgb="FFF3E79B"/>
      </bottom>
      <diagonal/>
    </border>
    <border>
      <left/>
      <right style="medium">
        <color rgb="FFF3E79B"/>
      </right>
      <top/>
      <bottom style="medium">
        <color rgb="FFF3E79B"/>
      </bottom>
      <diagonal/>
    </border>
    <border>
      <left style="medium">
        <color rgb="FFF3E79B"/>
      </left>
      <right style="medium">
        <color rgb="FFF3E79B"/>
      </right>
      <top style="medium">
        <color rgb="FFF3E79B"/>
      </top>
      <bottom style="medium">
        <color rgb="FFF3E79B"/>
      </bottom>
      <diagonal/>
    </border>
    <border>
      <left/>
      <right style="medium">
        <color rgb="FFF3E79B"/>
      </right>
      <top style="medium">
        <color rgb="FFF3E79B"/>
      </top>
      <bottom/>
      <diagonal/>
    </border>
    <border>
      <left/>
      <right style="medium">
        <color rgb="FFF3E79B"/>
      </right>
      <top style="medium">
        <color rgb="FFF3E79B"/>
      </top>
      <bottom style="medium">
        <color rgb="FFF3E79B"/>
      </bottom>
      <diagonal/>
    </border>
    <border>
      <left style="mediumDashed">
        <color rgb="FFF39912"/>
      </left>
      <right style="thin">
        <color indexed="64"/>
      </right>
      <top style="medium">
        <color rgb="FFF3E79B"/>
      </top>
      <bottom style="mediumDashed">
        <color rgb="FFF39912"/>
      </bottom>
      <diagonal/>
    </border>
    <border>
      <left style="thin">
        <color indexed="64"/>
      </left>
      <right style="thin">
        <color indexed="64"/>
      </right>
      <top style="medium">
        <color rgb="FFF3E79B"/>
      </top>
      <bottom style="mediumDashed">
        <color rgb="FFF39912"/>
      </bottom>
      <diagonal/>
    </border>
    <border>
      <left style="thin">
        <color indexed="64"/>
      </left>
      <right style="mediumDashed">
        <color rgb="FFF39912"/>
      </right>
      <top style="medium">
        <color rgb="FFF3E79B"/>
      </top>
      <bottom style="mediumDashed">
        <color rgb="FFF39912"/>
      </bottom>
      <diagonal/>
    </border>
    <border>
      <left style="medium">
        <color rgb="FFF3E9B1"/>
      </left>
      <right style="medium">
        <color rgb="FFF3E9B1"/>
      </right>
      <top style="medium">
        <color rgb="FFF3E9B1"/>
      </top>
      <bottom style="medium">
        <color rgb="FFF3E9B1"/>
      </bottom>
      <diagonal/>
    </border>
    <border>
      <left style="medium">
        <color rgb="FFF3E9B1"/>
      </left>
      <right style="medium">
        <color rgb="FFF3E9B1"/>
      </right>
      <top/>
      <bottom/>
      <diagonal/>
    </border>
    <border>
      <left style="medium">
        <color rgb="FFF3E9B1"/>
      </left>
      <right style="medium">
        <color rgb="FFF3E9B1"/>
      </right>
      <top/>
      <bottom style="medium">
        <color rgb="FFF3E9B1"/>
      </bottom>
      <diagonal/>
    </border>
    <border>
      <left/>
      <right/>
      <top style="medium">
        <color rgb="FFF3E9B1"/>
      </top>
      <bottom/>
      <diagonal/>
    </border>
    <border>
      <left/>
      <right/>
      <top/>
      <bottom style="medium">
        <color rgb="FFF3E9B1"/>
      </bottom>
      <diagonal/>
    </border>
    <border>
      <left/>
      <right style="medium">
        <color rgb="FFF3E9B1"/>
      </right>
      <top/>
      <bottom style="medium">
        <color rgb="FFF3E9B1"/>
      </bottom>
      <diagonal/>
    </border>
    <border>
      <left/>
      <right style="medium">
        <color rgb="FFF3E9B1"/>
      </right>
      <top/>
      <bottom style="medium">
        <color rgb="FFF5E9B1"/>
      </bottom>
      <diagonal/>
    </border>
    <border>
      <left/>
      <right style="medium">
        <color rgb="FFF3E9B1"/>
      </right>
      <top style="medium">
        <color rgb="FFF5E9B1"/>
      </top>
      <bottom style="medium">
        <color rgb="FFF5E9B1"/>
      </bottom>
      <diagonal/>
    </border>
    <border>
      <left/>
      <right style="medium">
        <color rgb="FFF3E9B1"/>
      </right>
      <top/>
      <bottom/>
      <diagonal/>
    </border>
    <border>
      <left/>
      <right/>
      <top style="mediumDashed">
        <color rgb="FFF39912"/>
      </top>
      <bottom style="mediumDashed">
        <color rgb="FFF39912"/>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right style="medium">
        <color rgb="FFCCCCCC"/>
      </right>
      <top style="medium">
        <color rgb="FFCCCCCC"/>
      </top>
      <bottom/>
      <diagonal/>
    </border>
    <border>
      <left style="medium">
        <color rgb="FFF3E79B"/>
      </left>
      <right style="medium">
        <color rgb="FFF3E79B"/>
      </right>
      <top style="medium">
        <color rgb="FFF3E79B"/>
      </top>
      <bottom/>
      <diagonal/>
    </border>
    <border>
      <left style="medium">
        <color rgb="FFF3E79B"/>
      </left>
      <right style="medium">
        <color rgb="FFF3E79B"/>
      </right>
      <top/>
      <bottom style="medium">
        <color rgb="FFF3E79B"/>
      </bottom>
      <diagonal/>
    </border>
    <border>
      <left style="medium">
        <color rgb="FFF3E79B"/>
      </left>
      <right/>
      <top style="medium">
        <color rgb="FFF3E79B"/>
      </top>
      <bottom style="medium">
        <color rgb="FFF3E79B"/>
      </bottom>
      <diagonal/>
    </border>
    <border>
      <left/>
      <right/>
      <top style="medium">
        <color rgb="FFF3E79B"/>
      </top>
      <bottom style="medium">
        <color rgb="FFF3E79B"/>
      </bottom>
      <diagonal/>
    </border>
    <border>
      <left/>
      <right/>
      <top style="medium">
        <color rgb="FFCCCCCC"/>
      </top>
      <bottom/>
      <diagonal/>
    </border>
    <border>
      <left style="medium">
        <color rgb="FFCCCCCC"/>
      </left>
      <right style="medium">
        <color rgb="FFCCCCCC"/>
      </right>
      <top style="medium">
        <color rgb="FFCCCCCC"/>
      </top>
      <bottom/>
      <diagonal/>
    </border>
    <border>
      <left style="thin">
        <color rgb="FFF5E9B1"/>
      </left>
      <right style="thin">
        <color rgb="FFF5E9B1"/>
      </right>
      <top style="thin">
        <color rgb="FFF5E9B1"/>
      </top>
      <bottom style="thin">
        <color rgb="FFF5E9B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5E99B"/>
      </left>
      <right style="thin">
        <color rgb="FFF5E99B"/>
      </right>
      <top style="thin">
        <color rgb="FFF5E99B"/>
      </top>
      <bottom style="thin">
        <color rgb="FFF5E99B"/>
      </bottom>
      <diagonal/>
    </border>
    <border>
      <left style="medium">
        <color rgb="FFF5E99B"/>
      </left>
      <right style="medium">
        <color rgb="FFF5E99B"/>
      </right>
      <top style="medium">
        <color rgb="FFF5E99B"/>
      </top>
      <bottom style="medium">
        <color rgb="FFF5E99B"/>
      </bottom>
      <diagonal/>
    </border>
    <border>
      <left style="medium">
        <color rgb="FFF5E99B"/>
      </left>
      <right/>
      <top style="medium">
        <color rgb="FFF5E99B"/>
      </top>
      <bottom style="medium">
        <color rgb="FFF5E99B"/>
      </bottom>
      <diagonal/>
    </border>
  </borders>
  <cellStyleXfs count="31">
    <xf numFmtId="0" fontId="0" fillId="0" borderId="0"/>
    <xf numFmtId="0" fontId="24" fillId="0" borderId="0" applyNumberFormat="0" applyAlignment="0" applyProtection="0"/>
    <xf numFmtId="0" fontId="25" fillId="0" borderId="0" applyNumberFormat="0" applyAlignment="0" applyProtection="0"/>
    <xf numFmtId="0" fontId="25" fillId="0" borderId="0" applyNumberFormat="0" applyAlignment="0" applyProtection="0"/>
    <xf numFmtId="0" fontId="9" fillId="0" borderId="0" applyNumberFormat="0" applyAlignment="0" applyProtection="0"/>
    <xf numFmtId="0" fontId="9" fillId="12" borderId="0" applyNumberFormat="0" applyAlignment="0" applyProtection="0"/>
    <xf numFmtId="0" fontId="11" fillId="7" borderId="0" applyNumberFormat="0" applyBorder="0" applyAlignment="0" applyProtection="0"/>
    <xf numFmtId="0" fontId="25" fillId="0" borderId="0" applyNumberFormat="0" applyAlignment="0" applyProtection="0"/>
    <xf numFmtId="0" fontId="12" fillId="0" borderId="6" applyNumberFormat="0" applyProtection="0">
      <alignment horizontal="right" indent="3"/>
    </xf>
    <xf numFmtId="0" fontId="4" fillId="0" borderId="0" applyNumberFormat="0" applyFill="0" applyBorder="0" applyAlignment="0" applyProtection="0"/>
    <xf numFmtId="0" fontId="17" fillId="12" borderId="0" applyNumberFormat="0" applyProtection="0">
      <alignment horizontal="center" vertical="top" wrapText="1"/>
    </xf>
    <xf numFmtId="0" fontId="18" fillId="10" borderId="0" applyNumberFormat="0" applyProtection="0">
      <alignment horizontal="left" vertical="center" wrapText="1"/>
    </xf>
    <xf numFmtId="0" fontId="28" fillId="0" borderId="0" applyNumberFormat="0" applyProtection="0">
      <alignment horizontal="left"/>
    </xf>
    <xf numFmtId="0" fontId="18" fillId="12" borderId="0" applyNumberFormat="0" applyProtection="0">
      <alignment vertical="center" wrapText="1"/>
    </xf>
    <xf numFmtId="0" fontId="18" fillId="12" borderId="0" applyNumberFormat="0" applyProtection="0">
      <alignment horizontal="left" vertical="center" wrapText="1"/>
    </xf>
    <xf numFmtId="0" fontId="18" fillId="0" borderId="0" applyNumberFormat="0" applyProtection="0">
      <alignment horizontal="center" vertical="center"/>
    </xf>
    <xf numFmtId="0" fontId="28" fillId="0" borderId="0" applyNumberFormat="0" applyProtection="0">
      <alignment vertical="center" wrapText="1"/>
    </xf>
    <xf numFmtId="0" fontId="26" fillId="0" borderId="0" applyNumberFormat="0" applyProtection="0">
      <alignment horizontal="right" vertical="center" wrapText="1"/>
    </xf>
    <xf numFmtId="0" fontId="26" fillId="12" borderId="0" applyNumberFormat="0" applyProtection="0">
      <alignment horizontal="right" vertical="center" wrapText="1"/>
    </xf>
    <xf numFmtId="0" fontId="22" fillId="10" borderId="0" applyNumberFormat="0" applyAlignment="0" applyProtection="0"/>
    <xf numFmtId="0" fontId="17" fillId="12" borderId="0" applyNumberFormat="0" applyProtection="0">
      <alignment vertical="top"/>
    </xf>
    <xf numFmtId="0" fontId="26" fillId="0" borderId="0" applyNumberFormat="0" applyAlignment="0" applyProtection="0"/>
    <xf numFmtId="0" fontId="9" fillId="0" borderId="4" applyNumberFormat="0" applyAlignment="0" applyProtection="0"/>
    <xf numFmtId="0" fontId="9" fillId="0" borderId="5" applyNumberFormat="0" applyAlignment="0" applyProtection="0"/>
    <xf numFmtId="0" fontId="26" fillId="0" borderId="0" applyNumberFormat="0" applyProtection="0">
      <alignment horizontal="right" vertical="center"/>
    </xf>
    <xf numFmtId="0" fontId="14" fillId="6" borderId="7" applyNumberFormat="0" applyProtection="0">
      <alignment horizontal="right" vertical="center"/>
    </xf>
    <xf numFmtId="0" fontId="9" fillId="0" borderId="8" applyNumberFormat="0" applyAlignment="0" applyProtection="0"/>
    <xf numFmtId="0" fontId="29" fillId="12" borderId="23" applyNumberFormat="0" applyAlignment="0" applyProtection="0"/>
    <xf numFmtId="44" fontId="39" fillId="0" borderId="0" applyFont="0" applyFill="0" applyBorder="0" applyAlignment="0" applyProtection="0"/>
    <xf numFmtId="43" fontId="39" fillId="0" borderId="0" applyFont="0" applyFill="0" applyBorder="0" applyAlignment="0" applyProtection="0"/>
    <xf numFmtId="0" fontId="1" fillId="0" borderId="0"/>
  </cellStyleXfs>
  <cellXfs count="554">
    <xf numFmtId="0" fontId="0" fillId="0" borderId="0" xfId="0"/>
    <xf numFmtId="0" fontId="2" fillId="0" borderId="0" xfId="0" applyFont="1"/>
    <xf numFmtId="0" fontId="4" fillId="0" borderId="0" xfId="9" applyNumberFormat="1" applyFont="1" applyFill="1" applyBorder="1" applyAlignment="1" applyProtection="1"/>
    <xf numFmtId="0" fontId="5" fillId="0" borderId="0" xfId="0" applyFont="1"/>
    <xf numFmtId="0" fontId="4" fillId="0" borderId="0" xfId="9"/>
    <xf numFmtId="0" fontId="4" fillId="0" borderId="0" xfId="9" applyAlignment="1">
      <alignment horizontal="center"/>
    </xf>
    <xf numFmtId="0" fontId="3" fillId="0" borderId="0" xfId="0" applyFont="1"/>
    <xf numFmtId="0" fontId="0" fillId="0" borderId="0" xfId="0" applyFont="1"/>
    <xf numFmtId="0" fontId="0" fillId="0" borderId="0" xfId="0" applyFont="1" applyFill="1"/>
    <xf numFmtId="167" fontId="0" fillId="0" borderId="0" xfId="0" applyNumberFormat="1" applyFont="1"/>
    <xf numFmtId="0" fontId="0" fillId="0" borderId="0" xfId="0" applyFont="1" applyAlignment="1"/>
    <xf numFmtId="167" fontId="25" fillId="0" borderId="0" xfId="2" applyNumberFormat="1"/>
    <xf numFmtId="0" fontId="24" fillId="0" borderId="0" xfId="1"/>
    <xf numFmtId="0" fontId="0" fillId="0" borderId="0" xfId="0" applyFont="1" applyBorder="1"/>
    <xf numFmtId="164" fontId="25" fillId="0" borderId="0" xfId="2" applyNumberFormat="1"/>
    <xf numFmtId="167" fontId="25" fillId="0" borderId="0" xfId="7" applyNumberFormat="1"/>
    <xf numFmtId="1" fontId="0" fillId="0" borderId="0" xfId="0" applyNumberFormat="1" applyFont="1"/>
    <xf numFmtId="0" fontId="7" fillId="2" borderId="1" xfId="0" applyFont="1" applyFill="1" applyBorder="1" applyAlignment="1">
      <alignment horizontal="center" vertical="center" wrapText="1"/>
    </xf>
    <xf numFmtId="0" fontId="0" fillId="3" borderId="0" xfId="0" applyFont="1" applyFill="1"/>
    <xf numFmtId="0" fontId="7" fillId="4" borderId="3" xfId="0" applyFont="1" applyFill="1" applyBorder="1" applyAlignment="1">
      <alignment horizontal="center" wrapText="1"/>
    </xf>
    <xf numFmtId="0" fontId="7" fillId="5" borderId="0" xfId="0" applyFont="1" applyFill="1" applyBorder="1" applyAlignment="1">
      <alignment horizontal="center" vertical="center" wrapText="1"/>
    </xf>
    <xf numFmtId="1" fontId="26" fillId="12" borderId="0" xfId="18" applyNumberFormat="1">
      <alignment horizontal="right" vertical="center" wrapText="1"/>
    </xf>
    <xf numFmtId="0" fontId="18" fillId="12" borderId="0" xfId="13">
      <alignment vertical="center" wrapText="1"/>
    </xf>
    <xf numFmtId="0" fontId="0" fillId="0" borderId="0" xfId="0"/>
    <xf numFmtId="0" fontId="8" fillId="0" borderId="0" xfId="9" applyFont="1" applyAlignment="1">
      <alignment horizontal="center"/>
    </xf>
    <xf numFmtId="0" fontId="3" fillId="0" borderId="0" xfId="0" applyFont="1" applyAlignment="1">
      <alignment horizontal="center" wrapText="1"/>
    </xf>
    <xf numFmtId="0" fontId="10" fillId="0" borderId="0" xfId="0" applyFont="1" applyFill="1" applyBorder="1" applyAlignment="1">
      <alignment vertical="top" wrapText="1"/>
    </xf>
    <xf numFmtId="0" fontId="13"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167" fontId="13" fillId="0" borderId="0" xfId="0" applyNumberFormat="1" applyFont="1" applyFill="1" applyBorder="1" applyAlignment="1">
      <alignment horizontal="center" wrapText="1"/>
    </xf>
    <xf numFmtId="0" fontId="10" fillId="0" borderId="0" xfId="0" applyFont="1" applyFill="1" applyBorder="1" applyAlignment="1">
      <alignment horizontal="center" vertical="top" wrapText="1"/>
    </xf>
    <xf numFmtId="0" fontId="7" fillId="0" borderId="0" xfId="0" applyFont="1" applyFill="1" applyBorder="1" applyAlignment="1">
      <alignment horizontal="center" wrapText="1"/>
    </xf>
    <xf numFmtId="1" fontId="7" fillId="0" borderId="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28" fillId="0" borderId="0" xfId="12" applyAlignment="1">
      <alignment horizontal="left" wrapText="1"/>
    </xf>
    <xf numFmtId="0" fontId="0" fillId="0" borderId="0" xfId="0" applyFont="1" applyFill="1" applyBorder="1"/>
    <xf numFmtId="0" fontId="0" fillId="0" borderId="0" xfId="0" applyFont="1" applyFill="1" applyAlignment="1"/>
    <xf numFmtId="0" fontId="7" fillId="0" borderId="0" xfId="0" applyFont="1" applyFill="1" applyBorder="1" applyAlignment="1">
      <alignment horizontal="center" vertical="top" wrapText="1"/>
    </xf>
    <xf numFmtId="0" fontId="10" fillId="0" borderId="2" xfId="0" applyFont="1" applyFill="1" applyBorder="1" applyAlignment="1">
      <alignment horizontal="center" vertical="top" wrapText="1"/>
    </xf>
    <xf numFmtId="0" fontId="17" fillId="12" borderId="0" xfId="10">
      <alignment horizontal="center" vertical="top" wrapText="1"/>
    </xf>
    <xf numFmtId="0" fontId="18" fillId="10" borderId="0" xfId="11">
      <alignment horizontal="left" vertical="center" wrapText="1"/>
    </xf>
    <xf numFmtId="167" fontId="18" fillId="10" borderId="0" xfId="11" applyNumberFormat="1">
      <alignment horizontal="left" vertical="center" wrapText="1"/>
    </xf>
    <xf numFmtId="0" fontId="0" fillId="10" borderId="0" xfId="0" applyFont="1" applyFill="1" applyBorder="1"/>
    <xf numFmtId="167" fontId="25" fillId="10" borderId="0" xfId="2" applyNumberFormat="1" applyFill="1"/>
    <xf numFmtId="0" fontId="24" fillId="10" borderId="0" xfId="1" applyFill="1"/>
    <xf numFmtId="0" fontId="18" fillId="10" borderId="0" xfId="11" applyFill="1">
      <alignment horizontal="left" vertical="center" wrapText="1"/>
    </xf>
    <xf numFmtId="167" fontId="25" fillId="10" borderId="0" xfId="7" applyNumberFormat="1" applyFill="1"/>
    <xf numFmtId="167" fontId="25" fillId="10" borderId="0" xfId="3" applyNumberFormat="1" applyFill="1"/>
    <xf numFmtId="166" fontId="25" fillId="10" borderId="0" xfId="2" applyNumberFormat="1" applyFill="1"/>
    <xf numFmtId="167" fontId="25" fillId="10" borderId="0" xfId="7" applyNumberFormat="1" applyFill="1" applyAlignment="1">
      <alignment horizontal="center"/>
    </xf>
    <xf numFmtId="0" fontId="9" fillId="0" borderId="0" xfId="4" applyAlignment="1">
      <alignment horizontal="center" vertical="top" wrapText="1"/>
    </xf>
    <xf numFmtId="0" fontId="28" fillId="0" borderId="0" xfId="12" applyBorder="1" applyAlignment="1">
      <alignment horizontal="left" wrapText="1"/>
    </xf>
    <xf numFmtId="0" fontId="28" fillId="0" borderId="9" xfId="12" applyBorder="1" applyAlignment="1">
      <alignment horizontal="left" wrapText="1"/>
    </xf>
    <xf numFmtId="167" fontId="25" fillId="0" borderId="9" xfId="2" applyNumberFormat="1" applyBorder="1"/>
    <xf numFmtId="0" fontId="24" fillId="0" borderId="9" xfId="1" applyBorder="1"/>
    <xf numFmtId="167" fontId="25" fillId="0" borderId="9" xfId="7" applyNumberFormat="1" applyBorder="1"/>
    <xf numFmtId="0" fontId="28" fillId="0" borderId="11" xfId="12" applyBorder="1" applyAlignment="1">
      <alignment horizontal="left" wrapText="1"/>
    </xf>
    <xf numFmtId="0" fontId="28" fillId="0" borderId="13" xfId="12" applyBorder="1" applyAlignment="1">
      <alignment horizontal="left" wrapText="1"/>
    </xf>
    <xf numFmtId="0" fontId="24" fillId="0" borderId="14" xfId="1" applyBorder="1"/>
    <xf numFmtId="167" fontId="25" fillId="0" borderId="14" xfId="7" applyNumberFormat="1" applyBorder="1"/>
    <xf numFmtId="167" fontId="25" fillId="0" borderId="0" xfId="7" applyNumberFormat="1" applyBorder="1" applyAlignment="1">
      <alignment horizontal="right"/>
    </xf>
    <xf numFmtId="167" fontId="25" fillId="0" borderId="9" xfId="7" applyNumberFormat="1" applyBorder="1" applyAlignment="1">
      <alignment horizontal="right"/>
    </xf>
    <xf numFmtId="0" fontId="28" fillId="0" borderId="14" xfId="12" applyBorder="1" applyAlignment="1">
      <alignment horizontal="left" wrapText="1"/>
    </xf>
    <xf numFmtId="167" fontId="25" fillId="0" borderId="14" xfId="3" applyNumberFormat="1" applyBorder="1"/>
    <xf numFmtId="166" fontId="25" fillId="0" borderId="14" xfId="2" applyNumberFormat="1" applyBorder="1"/>
    <xf numFmtId="166" fontId="25" fillId="0" borderId="9" xfId="2" applyNumberFormat="1" applyBorder="1"/>
    <xf numFmtId="164" fontId="25" fillId="0" borderId="9" xfId="2" applyNumberFormat="1" applyBorder="1"/>
    <xf numFmtId="167" fontId="0" fillId="0" borderId="0" xfId="0" applyNumberFormat="1" applyFont="1" applyBorder="1"/>
    <xf numFmtId="0" fontId="33" fillId="0" borderId="0" xfId="9" applyFont="1"/>
    <xf numFmtId="0" fontId="9" fillId="0" borderId="0" xfId="4" applyAlignment="1">
      <alignment horizontal="right" indent="3"/>
    </xf>
    <xf numFmtId="1" fontId="9" fillId="0" borderId="0" xfId="4" applyNumberFormat="1" applyAlignment="1">
      <alignment horizontal="right" indent="3"/>
    </xf>
    <xf numFmtId="0" fontId="9" fillId="0" borderId="0" xfId="4" applyAlignment="1">
      <alignment horizontal="center" wrapText="1"/>
    </xf>
    <xf numFmtId="1" fontId="9" fillId="0" borderId="0" xfId="4" applyNumberFormat="1" applyAlignment="1">
      <alignment horizontal="right" vertical="center" wrapText="1"/>
    </xf>
    <xf numFmtId="0" fontId="9" fillId="0" borderId="0" xfId="4" applyAlignment="1">
      <alignment horizontal="right" vertical="center" wrapText="1"/>
    </xf>
    <xf numFmtId="0" fontId="9" fillId="0" borderId="0" xfId="4"/>
    <xf numFmtId="1" fontId="9" fillId="0" borderId="0" xfId="4" applyNumberFormat="1"/>
    <xf numFmtId="1" fontId="26" fillId="0" borderId="10" xfId="17" applyNumberFormat="1" applyBorder="1">
      <alignment horizontal="right" vertical="center" wrapText="1"/>
    </xf>
    <xf numFmtId="0" fontId="18" fillId="0" borderId="17" xfId="15" applyBorder="1">
      <alignment horizontal="center" vertical="center"/>
    </xf>
    <xf numFmtId="167" fontId="26" fillId="0" borderId="17" xfId="17" applyNumberFormat="1" applyBorder="1">
      <alignment horizontal="right" vertical="center" wrapText="1"/>
    </xf>
    <xf numFmtId="0" fontId="28" fillId="0" borderId="17" xfId="16" applyBorder="1">
      <alignment vertical="center" wrapText="1"/>
    </xf>
    <xf numFmtId="0" fontId="28" fillId="0" borderId="12" xfId="16" applyBorder="1">
      <alignment vertical="center" wrapText="1"/>
    </xf>
    <xf numFmtId="167" fontId="26" fillId="0" borderId="12" xfId="17" applyNumberFormat="1" applyBorder="1">
      <alignment horizontal="right" vertical="center" wrapText="1"/>
    </xf>
    <xf numFmtId="0" fontId="28" fillId="0" borderId="15" xfId="16" applyBorder="1">
      <alignment vertical="center" wrapText="1"/>
    </xf>
    <xf numFmtId="167" fontId="26" fillId="0" borderId="15" xfId="17" applyNumberFormat="1" applyBorder="1">
      <alignment horizontal="right" vertical="center" wrapText="1"/>
    </xf>
    <xf numFmtId="0" fontId="18" fillId="0" borderId="12" xfId="15" applyBorder="1">
      <alignment horizontal="center" vertical="center"/>
    </xf>
    <xf numFmtId="0" fontId="18" fillId="12" borderId="0" xfId="13" applyBorder="1">
      <alignment vertical="center" wrapText="1"/>
    </xf>
    <xf numFmtId="1" fontId="26" fillId="12" borderId="0" xfId="18" applyNumberFormat="1" applyBorder="1">
      <alignment horizontal="right" vertical="center" wrapText="1"/>
    </xf>
    <xf numFmtId="0" fontId="9" fillId="0" borderId="0" xfId="23" applyFill="1" applyBorder="1" applyAlignment="1">
      <alignment horizontal="center" vertical="center" wrapText="1"/>
    </xf>
    <xf numFmtId="1" fontId="9" fillId="0" borderId="0" xfId="23" applyNumberFormat="1" applyFill="1" applyBorder="1" applyAlignment="1">
      <alignment horizontal="center" vertical="center" wrapText="1"/>
    </xf>
    <xf numFmtId="167" fontId="9" fillId="0" borderId="0" xfId="23" applyNumberFormat="1" applyFill="1" applyBorder="1" applyAlignment="1">
      <alignment horizontal="center" wrapText="1"/>
    </xf>
    <xf numFmtId="1" fontId="9" fillId="0" borderId="0" xfId="4" applyNumberFormat="1" applyBorder="1" applyAlignment="1">
      <alignment horizontal="right" indent="3"/>
    </xf>
    <xf numFmtId="0" fontId="9" fillId="0" borderId="0" xfId="23" applyFill="1" applyBorder="1" applyAlignment="1">
      <alignment horizontal="center" wrapText="1"/>
    </xf>
    <xf numFmtId="1" fontId="9" fillId="0" borderId="0" xfId="23" applyNumberFormat="1" applyFill="1" applyBorder="1" applyAlignment="1">
      <alignment horizontal="right" vertical="center" wrapText="1"/>
    </xf>
    <xf numFmtId="0" fontId="9" fillId="0" borderId="0" xfId="23" applyFill="1" applyBorder="1" applyAlignment="1">
      <alignment horizontal="right" vertical="center" wrapText="1"/>
    </xf>
    <xf numFmtId="0" fontId="9" fillId="0" borderId="0" xfId="4" applyBorder="1"/>
    <xf numFmtId="1" fontId="0" fillId="0" borderId="0" xfId="0" applyNumberFormat="1" applyFont="1" applyBorder="1"/>
    <xf numFmtId="0" fontId="3" fillId="0" borderId="0" xfId="0" applyFont="1" applyBorder="1" applyAlignment="1">
      <alignment horizontal="center" wrapText="1"/>
    </xf>
    <xf numFmtId="0" fontId="9" fillId="0" borderId="0" xfId="4" applyBorder="1" applyAlignment="1">
      <alignment horizontal="center" vertical="center" wrapText="1"/>
    </xf>
    <xf numFmtId="1" fontId="18" fillId="12" borderId="0" xfId="13" applyNumberFormat="1" applyBorder="1">
      <alignment vertical="center" wrapText="1"/>
    </xf>
    <xf numFmtId="1" fontId="26" fillId="12" borderId="17" xfId="18" applyNumberFormat="1" applyBorder="1">
      <alignment horizontal="right" vertical="center" wrapText="1"/>
    </xf>
    <xf numFmtId="167" fontId="26" fillId="0" borderId="18" xfId="17" applyNumberFormat="1" applyBorder="1">
      <alignment horizontal="right" vertical="center" wrapText="1"/>
    </xf>
    <xf numFmtId="1" fontId="26" fillId="0" borderId="10" xfId="24" applyNumberFormat="1" applyBorder="1">
      <alignment horizontal="right" vertical="center"/>
    </xf>
    <xf numFmtId="1" fontId="18" fillId="12" borderId="9" xfId="13" applyNumberFormat="1" applyBorder="1">
      <alignment vertical="center" wrapText="1"/>
    </xf>
    <xf numFmtId="1" fontId="18" fillId="12" borderId="0" xfId="18" applyNumberFormat="1" applyFont="1" applyBorder="1">
      <alignment horizontal="right" vertical="center" wrapText="1"/>
    </xf>
    <xf numFmtId="1" fontId="18" fillId="0" borderId="10" xfId="17" applyNumberFormat="1" applyFont="1" applyBorder="1">
      <alignment horizontal="right" vertical="center" wrapText="1"/>
    </xf>
    <xf numFmtId="1" fontId="18" fillId="0" borderId="10" xfId="24" applyNumberFormat="1" applyFont="1" applyBorder="1">
      <alignment horizontal="right" vertical="center"/>
    </xf>
    <xf numFmtId="167" fontId="18" fillId="12" borderId="17" xfId="18" applyNumberFormat="1" applyFont="1" applyBorder="1">
      <alignment horizontal="right" vertical="center" wrapText="1"/>
    </xf>
    <xf numFmtId="1" fontId="18" fillId="12" borderId="0" xfId="14" applyNumberFormat="1" applyFont="1" applyAlignment="1">
      <alignment horizontal="right" vertical="center" wrapText="1"/>
    </xf>
    <xf numFmtId="167" fontId="18" fillId="12" borderId="17" xfId="14" applyNumberFormat="1" applyFont="1" applyBorder="1" applyAlignment="1">
      <alignment horizontal="right" vertical="center" wrapText="1"/>
    </xf>
    <xf numFmtId="0" fontId="9" fillId="0" borderId="0" xfId="26" applyBorder="1"/>
    <xf numFmtId="0" fontId="9" fillId="0" borderId="0" xfId="26" applyBorder="1" applyAlignment="1">
      <alignment vertical="center"/>
    </xf>
    <xf numFmtId="0" fontId="12" fillId="0" borderId="0" xfId="8" applyBorder="1">
      <alignment horizontal="right" indent="3"/>
    </xf>
    <xf numFmtId="1" fontId="12" fillId="0" borderId="0" xfId="8" applyNumberFormat="1" applyBorder="1">
      <alignment horizontal="right" indent="3"/>
    </xf>
    <xf numFmtId="0" fontId="9" fillId="0" borderId="0" xfId="23" applyBorder="1"/>
    <xf numFmtId="1" fontId="9" fillId="0" borderId="0" xfId="23" applyNumberFormat="1" applyBorder="1"/>
    <xf numFmtId="0" fontId="28" fillId="0" borderId="9" xfId="12" applyFont="1" applyBorder="1" applyAlignment="1">
      <alignment horizontal="left" wrapText="1"/>
    </xf>
    <xf numFmtId="0" fontId="28" fillId="0" borderId="0" xfId="12" applyFont="1" applyBorder="1" applyAlignment="1">
      <alignment horizontal="left" wrapText="1"/>
    </xf>
    <xf numFmtId="167" fontId="0" fillId="0" borderId="24" xfId="0" applyNumberFormat="1" applyFont="1" applyBorder="1"/>
    <xf numFmtId="0" fontId="0" fillId="0" borderId="25" xfId="0" applyFont="1" applyBorder="1" applyAlignment="1"/>
    <xf numFmtId="1" fontId="18" fillId="12" borderId="17" xfId="18" applyNumberFormat="1" applyFont="1" applyBorder="1" applyAlignment="1">
      <alignment horizontal="center" vertical="top" wrapText="1"/>
    </xf>
    <xf numFmtId="1" fontId="18" fillId="12" borderId="0" xfId="18" applyNumberFormat="1" applyFont="1" applyBorder="1" applyAlignment="1">
      <alignment horizontal="center" wrapText="1"/>
    </xf>
    <xf numFmtId="0" fontId="0" fillId="0" borderId="0" xfId="0" applyFont="1" applyAlignment="1">
      <alignment wrapText="1"/>
    </xf>
    <xf numFmtId="0" fontId="0" fillId="0" borderId="0" xfId="0" applyBorder="1"/>
    <xf numFmtId="0" fontId="0" fillId="0" borderId="0" xfId="0" applyFont="1" applyBorder="1" applyAlignment="1" applyProtection="1">
      <alignment wrapText="1"/>
    </xf>
    <xf numFmtId="0" fontId="0" fillId="0" borderId="0" xfId="0" applyFont="1" applyBorder="1" applyProtection="1"/>
    <xf numFmtId="0" fontId="17" fillId="12" borderId="0" xfId="10" applyBorder="1" applyAlignment="1" applyProtection="1">
      <alignment horizontal="center" vertical="top" wrapText="1"/>
    </xf>
    <xf numFmtId="0" fontId="0" fillId="12" borderId="0" xfId="0" applyFont="1" applyFill="1" applyBorder="1" applyProtection="1"/>
    <xf numFmtId="0" fontId="18" fillId="10" borderId="0" xfId="11" applyBorder="1" applyAlignment="1" applyProtection="1">
      <alignment horizontal="left" vertical="center" wrapText="1"/>
    </xf>
    <xf numFmtId="0" fontId="28" fillId="0" borderId="0" xfId="12" applyBorder="1" applyAlignment="1" applyProtection="1">
      <alignment horizontal="left" wrapText="1"/>
    </xf>
    <xf numFmtId="167" fontId="24" fillId="0" borderId="36" xfId="1" applyNumberFormat="1" applyBorder="1" applyAlignment="1" applyProtection="1">
      <alignment horizontal="center" vertical="center"/>
    </xf>
    <xf numFmtId="0" fontId="24" fillId="0" borderId="36" xfId="1" applyBorder="1" applyAlignment="1" applyProtection="1">
      <alignment horizontal="center" vertical="center"/>
    </xf>
    <xf numFmtId="0" fontId="24" fillId="0" borderId="36" xfId="1" applyBorder="1" applyAlignment="1" applyProtection="1">
      <alignment horizontal="center" vertical="center" wrapText="1"/>
    </xf>
    <xf numFmtId="164" fontId="24" fillId="0" borderId="36" xfId="1" applyNumberFormat="1" applyBorder="1" applyAlignment="1" applyProtection="1">
      <alignment horizontal="center" vertical="center"/>
    </xf>
    <xf numFmtId="0" fontId="28" fillId="0" borderId="36" xfId="12" applyBorder="1" applyAlignment="1" applyProtection="1">
      <alignment horizontal="left" wrapText="1"/>
    </xf>
    <xf numFmtId="0" fontId="0" fillId="12" borderId="0" xfId="0" applyFont="1" applyFill="1" applyBorder="1" applyAlignment="1" applyProtection="1">
      <alignment horizontal="center" vertical="center"/>
    </xf>
    <xf numFmtId="0" fontId="0" fillId="12" borderId="0" xfId="0" applyFont="1" applyFill="1" applyBorder="1" applyAlignment="1" applyProtection="1">
      <alignment horizontal="center" vertical="center" wrapText="1"/>
    </xf>
    <xf numFmtId="0" fontId="0" fillId="12" borderId="22" xfId="0" applyFont="1" applyFill="1" applyBorder="1" applyAlignment="1" applyProtection="1">
      <alignment horizontal="center" vertical="center" wrapText="1"/>
    </xf>
    <xf numFmtId="165" fontId="24" fillId="0" borderId="36" xfId="1" applyNumberFormat="1" applyBorder="1" applyAlignment="1" applyProtection="1">
      <alignment horizontal="center" vertical="center"/>
    </xf>
    <xf numFmtId="167" fontId="24" fillId="0" borderId="38" xfId="1" applyNumberFormat="1" applyBorder="1" applyAlignment="1" applyProtection="1">
      <alignment horizontal="center" vertical="center"/>
    </xf>
    <xf numFmtId="0" fontId="29" fillId="0" borderId="36" xfId="1" applyFont="1" applyBorder="1" applyAlignment="1" applyProtection="1">
      <alignment horizontal="left" vertical="center" wrapText="1"/>
    </xf>
    <xf numFmtId="167" fontId="24" fillId="0" borderId="42" xfId="1" applyNumberFormat="1" applyBorder="1" applyAlignment="1" applyProtection="1">
      <alignment horizontal="center" vertical="center"/>
    </xf>
    <xf numFmtId="0" fontId="29" fillId="0" borderId="44" xfId="1" applyFont="1" applyBorder="1" applyAlignment="1" applyProtection="1">
      <alignment horizontal="left" vertical="center" wrapText="1"/>
    </xf>
    <xf numFmtId="0" fontId="29" fillId="0" borderId="43" xfId="1" applyFont="1" applyBorder="1" applyAlignment="1" applyProtection="1">
      <alignment horizontal="left" vertical="center" wrapText="1"/>
    </xf>
    <xf numFmtId="0" fontId="24" fillId="13" borderId="9" xfId="1" applyFill="1" applyBorder="1"/>
    <xf numFmtId="0" fontId="24" fillId="13" borderId="0" xfId="1" applyFill="1" applyBorder="1"/>
    <xf numFmtId="0" fontId="24" fillId="13" borderId="14" xfId="1" applyFill="1" applyBorder="1"/>
    <xf numFmtId="0" fontId="9" fillId="13" borderId="14" xfId="4" applyFill="1" applyBorder="1" applyAlignment="1">
      <alignment horizontal="center"/>
    </xf>
    <xf numFmtId="0" fontId="9" fillId="13" borderId="0" xfId="4" applyFill="1" applyAlignment="1">
      <alignment horizontal="center"/>
    </xf>
    <xf numFmtId="0" fontId="0" fillId="13" borderId="9" xfId="0" applyFont="1" applyFill="1" applyBorder="1"/>
    <xf numFmtId="0" fontId="0" fillId="13" borderId="0" xfId="0" applyFont="1" applyFill="1" applyBorder="1"/>
    <xf numFmtId="0" fontId="0" fillId="13" borderId="14" xfId="0" applyFont="1" applyFill="1" applyBorder="1"/>
    <xf numFmtId="0" fontId="24" fillId="13" borderId="0" xfId="1" applyFill="1"/>
    <xf numFmtId="0" fontId="18" fillId="13" borderId="0" xfId="11" applyFill="1">
      <alignment horizontal="left" vertical="center" wrapText="1"/>
    </xf>
    <xf numFmtId="0" fontId="0" fillId="13" borderId="0" xfId="0" applyFont="1" applyFill="1" applyBorder="1" applyAlignment="1"/>
    <xf numFmtId="0" fontId="24" fillId="13" borderId="0" xfId="1" applyFill="1" applyAlignment="1"/>
    <xf numFmtId="0" fontId="0" fillId="0" borderId="45" xfId="0" applyFont="1" applyFill="1" applyBorder="1"/>
    <xf numFmtId="0" fontId="24" fillId="0" borderId="46" xfId="1" applyBorder="1"/>
    <xf numFmtId="167" fontId="25" fillId="0" borderId="46" xfId="7" applyNumberFormat="1" applyBorder="1"/>
    <xf numFmtId="0" fontId="28" fillId="0" borderId="46" xfId="12" applyBorder="1" applyAlignment="1">
      <alignment horizontal="left" wrapText="1"/>
    </xf>
    <xf numFmtId="167" fontId="26" fillId="0" borderId="46" xfId="21" applyNumberFormat="1" applyBorder="1" applyAlignment="1" applyProtection="1">
      <alignment horizontal="right"/>
      <protection locked="0"/>
    </xf>
    <xf numFmtId="0" fontId="0" fillId="13" borderId="46" xfId="0" applyFont="1" applyFill="1" applyBorder="1"/>
    <xf numFmtId="167" fontId="25" fillId="0" borderId="46" xfId="2" applyNumberFormat="1" applyBorder="1"/>
    <xf numFmtId="0" fontId="24" fillId="13" borderId="46" xfId="1" applyFill="1" applyBorder="1"/>
    <xf numFmtId="167" fontId="25" fillId="0" borderId="47" xfId="3" applyNumberFormat="1" applyBorder="1"/>
    <xf numFmtId="167" fontId="25" fillId="0" borderId="48" xfId="3" applyNumberFormat="1" applyBorder="1"/>
    <xf numFmtId="167" fontId="25" fillId="0" borderId="49" xfId="3" applyNumberFormat="1" applyBorder="1"/>
    <xf numFmtId="167" fontId="25" fillId="0" borderId="50" xfId="3" applyNumberFormat="1" applyBorder="1"/>
    <xf numFmtId="167" fontId="25" fillId="10" borderId="50" xfId="3" applyNumberFormat="1" applyFill="1" applyBorder="1"/>
    <xf numFmtId="167" fontId="18" fillId="10" borderId="50" xfId="11" applyNumberFormat="1" applyBorder="1">
      <alignment horizontal="left" vertical="center" wrapText="1"/>
    </xf>
    <xf numFmtId="169" fontId="25" fillId="0" borderId="9" xfId="2" applyNumberFormat="1" applyBorder="1"/>
    <xf numFmtId="1" fontId="38" fillId="9" borderId="0" xfId="9" applyNumberFormat="1" applyFont="1" applyFill="1" applyBorder="1" applyAlignment="1">
      <alignment horizontal="center"/>
    </xf>
    <xf numFmtId="1" fontId="38" fillId="9" borderId="17" xfId="9" applyNumberFormat="1" applyFont="1" applyFill="1" applyBorder="1" applyAlignment="1">
      <alignment horizontal="center"/>
    </xf>
    <xf numFmtId="167" fontId="26" fillId="0" borderId="9" xfId="21" applyNumberFormat="1" applyFont="1" applyBorder="1" applyAlignment="1" applyProtection="1">
      <alignment horizontal="right" indent="3"/>
      <protection locked="0"/>
    </xf>
    <xf numFmtId="167" fontId="26" fillId="0" borderId="0" xfId="21" applyNumberFormat="1" applyFont="1" applyBorder="1" applyAlignment="1" applyProtection="1">
      <alignment horizontal="right" indent="3"/>
      <protection locked="0"/>
    </xf>
    <xf numFmtId="167" fontId="26" fillId="0" borderId="14" xfId="21" applyNumberFormat="1" applyFont="1" applyBorder="1" applyAlignment="1" applyProtection="1">
      <alignment horizontal="right" indent="3"/>
      <protection locked="0"/>
    </xf>
    <xf numFmtId="166" fontId="26" fillId="0" borderId="14" xfId="21" applyNumberFormat="1" applyFont="1" applyBorder="1" applyAlignment="1" applyProtection="1">
      <alignment horizontal="right" indent="3"/>
      <protection locked="0"/>
    </xf>
    <xf numFmtId="166" fontId="26" fillId="0" borderId="0" xfId="21" applyNumberFormat="1" applyFont="1" applyAlignment="1" applyProtection="1">
      <alignment horizontal="right" indent="3"/>
      <protection locked="0"/>
    </xf>
    <xf numFmtId="167" fontId="26" fillId="0" borderId="0" xfId="21" applyNumberFormat="1" applyFont="1" applyAlignment="1" applyProtection="1">
      <alignment horizontal="right" indent="3"/>
      <protection locked="0"/>
    </xf>
    <xf numFmtId="166" fontId="26" fillId="0" borderId="9" xfId="21" applyNumberFormat="1" applyFont="1" applyBorder="1" applyAlignment="1" applyProtection="1">
      <alignment horizontal="right" indent="3"/>
      <protection locked="0"/>
    </xf>
    <xf numFmtId="3" fontId="26" fillId="0" borderId="14" xfId="21" applyNumberFormat="1" applyFont="1" applyBorder="1" applyAlignment="1" applyProtection="1">
      <alignment horizontal="right" indent="3"/>
      <protection locked="0"/>
    </xf>
    <xf numFmtId="3" fontId="26" fillId="0" borderId="9" xfId="21" applyNumberFormat="1" applyFont="1" applyBorder="1" applyAlignment="1" applyProtection="1">
      <alignment horizontal="right" indent="3"/>
      <protection locked="0"/>
    </xf>
    <xf numFmtId="0" fontId="18" fillId="10" borderId="0" xfId="11">
      <alignment horizontal="left" vertical="center" wrapText="1"/>
    </xf>
    <xf numFmtId="0" fontId="24" fillId="0" borderId="0" xfId="1" applyFill="1"/>
    <xf numFmtId="167" fontId="25" fillId="0" borderId="0" xfId="7" applyNumberFormat="1" applyFill="1"/>
    <xf numFmtId="167" fontId="25" fillId="0" borderId="0" xfId="3" applyNumberFormat="1" applyFill="1"/>
    <xf numFmtId="166" fontId="25" fillId="0" borderId="0" xfId="2" applyNumberFormat="1" applyFill="1"/>
    <xf numFmtId="167" fontId="25" fillId="0" borderId="0" xfId="7" applyNumberFormat="1" applyFill="1" applyAlignment="1">
      <alignment horizontal="center"/>
    </xf>
    <xf numFmtId="167" fontId="25" fillId="0" borderId="50" xfId="3" applyNumberFormat="1" applyFill="1" applyBorder="1"/>
    <xf numFmtId="0" fontId="9" fillId="13" borderId="14" xfId="4" applyFill="1" applyBorder="1" applyAlignment="1"/>
    <xf numFmtId="0" fontId="9" fillId="13" borderId="49" xfId="4" applyFill="1" applyBorder="1" applyAlignment="1"/>
    <xf numFmtId="0" fontId="9" fillId="13" borderId="0" xfId="4" applyFill="1" applyAlignment="1"/>
    <xf numFmtId="0" fontId="9" fillId="13" borderId="50" xfId="4" applyFill="1" applyBorder="1" applyAlignment="1"/>
    <xf numFmtId="0" fontId="17" fillId="12" borderId="0" xfId="10" applyBorder="1" applyAlignment="1" applyProtection="1">
      <alignment horizontal="center" vertical="top" wrapText="1"/>
    </xf>
    <xf numFmtId="0" fontId="29" fillId="0" borderId="0" xfId="0" applyFont="1" applyBorder="1" applyAlignment="1">
      <alignment wrapText="1"/>
    </xf>
    <xf numFmtId="0" fontId="29" fillId="0" borderId="30" xfId="0" applyFont="1" applyBorder="1" applyAlignment="1">
      <alignment wrapText="1"/>
    </xf>
    <xf numFmtId="0" fontId="29" fillId="0" borderId="31" xfId="0" applyFont="1" applyBorder="1" applyAlignment="1">
      <alignment wrapText="1"/>
    </xf>
    <xf numFmtId="0" fontId="29" fillId="0" borderId="32" xfId="0" applyFont="1" applyBorder="1" applyAlignment="1">
      <alignment wrapText="1"/>
    </xf>
    <xf numFmtId="0" fontId="29" fillId="0" borderId="33" xfId="0" applyFont="1" applyBorder="1" applyAlignment="1">
      <alignment wrapText="1"/>
    </xf>
    <xf numFmtId="0" fontId="29" fillId="10" borderId="29" xfId="0" applyFont="1" applyFill="1" applyBorder="1" applyAlignment="1">
      <alignment wrapText="1"/>
    </xf>
    <xf numFmtId="0" fontId="29" fillId="10" borderId="26" xfId="0" applyFont="1" applyFill="1" applyBorder="1" applyAlignment="1">
      <alignment wrapText="1"/>
    </xf>
    <xf numFmtId="0" fontId="0" fillId="10" borderId="28" xfId="0" applyFill="1" applyBorder="1"/>
    <xf numFmtId="0" fontId="29" fillId="10" borderId="30" xfId="0" applyFont="1" applyFill="1" applyBorder="1" applyAlignment="1">
      <alignment horizontal="right" wrapText="1"/>
    </xf>
    <xf numFmtId="0" fontId="29" fillId="0" borderId="0" xfId="0" applyFont="1" applyBorder="1" applyAlignment="1">
      <alignment horizontal="right" wrapText="1"/>
    </xf>
    <xf numFmtId="0" fontId="29" fillId="10" borderId="28" xfId="0" applyFont="1" applyFill="1" applyBorder="1" applyAlignment="1">
      <alignment horizontal="right" wrapText="1"/>
    </xf>
    <xf numFmtId="170" fontId="29" fillId="10" borderId="33" xfId="0" applyNumberFormat="1" applyFont="1" applyFill="1" applyBorder="1" applyAlignment="1">
      <alignment horizontal="right" wrapText="1"/>
    </xf>
    <xf numFmtId="0" fontId="0" fillId="0" borderId="29" xfId="0" applyBorder="1"/>
    <xf numFmtId="0" fontId="29" fillId="0" borderId="51" xfId="0" applyFont="1" applyBorder="1" applyAlignment="1">
      <alignment wrapText="1"/>
    </xf>
    <xf numFmtId="0" fontId="40" fillId="0" borderId="52" xfId="0" applyFont="1" applyBorder="1" applyAlignment="1">
      <alignment wrapText="1"/>
    </xf>
    <xf numFmtId="0" fontId="40" fillId="0" borderId="53" xfId="0" applyFont="1" applyBorder="1" applyAlignment="1">
      <alignment wrapText="1"/>
    </xf>
    <xf numFmtId="0" fontId="40" fillId="0" borderId="54" xfId="0" applyFont="1" applyBorder="1" applyAlignment="1">
      <alignment wrapText="1"/>
    </xf>
    <xf numFmtId="0" fontId="42" fillId="12" borderId="0" xfId="0" applyFont="1" applyFill="1" applyBorder="1" applyAlignment="1" applyProtection="1">
      <alignment horizontal="center" vertical="center" wrapText="1"/>
    </xf>
    <xf numFmtId="0" fontId="42" fillId="12" borderId="0" xfId="0" applyFont="1" applyFill="1" applyBorder="1" applyAlignment="1" applyProtection="1">
      <alignment horizontal="center" vertical="center"/>
    </xf>
    <xf numFmtId="44" fontId="29" fillId="0" borderId="31" xfId="28" applyFont="1" applyBorder="1" applyAlignment="1" applyProtection="1">
      <alignment wrapText="1"/>
      <protection locked="0"/>
    </xf>
    <xf numFmtId="0" fontId="4" fillId="0" borderId="36" xfId="9" applyBorder="1" applyAlignment="1" applyProtection="1">
      <alignment horizontal="left" vertical="center" wrapText="1"/>
    </xf>
    <xf numFmtId="0" fontId="4" fillId="0" borderId="36" xfId="9" applyBorder="1" applyAlignment="1" applyProtection="1">
      <alignment horizontal="center" vertical="center" wrapText="1"/>
    </xf>
    <xf numFmtId="0" fontId="41" fillId="0" borderId="55" xfId="0" applyFont="1" applyBorder="1" applyAlignment="1">
      <alignment horizontal="center" vertical="center" wrapText="1"/>
    </xf>
    <xf numFmtId="14" fontId="41" fillId="0" borderId="55" xfId="0" applyNumberFormat="1" applyFont="1" applyBorder="1" applyAlignment="1">
      <alignment horizontal="center" vertical="center" wrapText="1"/>
    </xf>
    <xf numFmtId="0" fontId="41" fillId="0" borderId="55" xfId="0" applyFont="1" applyBorder="1" applyAlignment="1">
      <alignment horizontal="left" vertical="center" wrapText="1"/>
    </xf>
    <xf numFmtId="0" fontId="45" fillId="0" borderId="0" xfId="0" applyFont="1" applyFill="1"/>
    <xf numFmtId="1" fontId="37" fillId="12" borderId="0" xfId="13" applyNumberFormat="1" applyFont="1" applyBorder="1">
      <alignment vertical="center" wrapText="1"/>
    </xf>
    <xf numFmtId="0" fontId="28" fillId="0" borderId="36" xfId="12" applyBorder="1" applyAlignment="1" applyProtection="1">
      <alignment horizontal="left" vertical="center" wrapText="1"/>
    </xf>
    <xf numFmtId="0" fontId="28" fillId="0" borderId="38" xfId="12" applyBorder="1" applyAlignment="1" applyProtection="1">
      <alignment horizontal="left" vertical="center" wrapText="1"/>
    </xf>
    <xf numFmtId="168" fontId="24" fillId="0" borderId="36" xfId="1" applyNumberFormat="1" applyBorder="1" applyAlignment="1" applyProtection="1">
      <alignment vertical="center"/>
    </xf>
    <xf numFmtId="167" fontId="24" fillId="0" borderId="36" xfId="1" applyNumberFormat="1" applyBorder="1" applyAlignment="1" applyProtection="1">
      <alignment vertical="center" wrapText="1"/>
    </xf>
    <xf numFmtId="0" fontId="22" fillId="0" borderId="0" xfId="19" applyFill="1" applyAlignment="1">
      <alignment vertical="center" wrapText="1"/>
    </xf>
    <xf numFmtId="0" fontId="18" fillId="10" borderId="0" xfId="11">
      <alignment horizontal="left" vertical="center" wrapText="1"/>
    </xf>
    <xf numFmtId="0" fontId="17" fillId="12" borderId="0" xfId="10">
      <alignment horizontal="center" vertical="top" wrapText="1"/>
    </xf>
    <xf numFmtId="0" fontId="28" fillId="0" borderId="46" xfId="12" applyBorder="1" applyAlignment="1">
      <alignment horizontal="left" wrapText="1"/>
    </xf>
    <xf numFmtId="0" fontId="24" fillId="0" borderId="36" xfId="1" applyBorder="1" applyAlignment="1" applyProtection="1">
      <alignment horizontal="center" vertical="center"/>
    </xf>
    <xf numFmtId="168" fontId="24" fillId="0" borderId="36" xfId="1" applyNumberFormat="1" applyBorder="1" applyAlignment="1" applyProtection="1">
      <alignment horizontal="center" vertical="center"/>
    </xf>
    <xf numFmtId="0" fontId="46" fillId="0" borderId="60" xfId="0" applyFont="1" applyBorder="1" applyAlignment="1">
      <alignment horizontal="center" vertical="center" wrapText="1"/>
    </xf>
    <xf numFmtId="14" fontId="46" fillId="0" borderId="60" xfId="0" applyNumberFormat="1" applyFont="1" applyBorder="1" applyAlignment="1">
      <alignment horizontal="center" vertical="center" wrapText="1"/>
    </xf>
    <xf numFmtId="168" fontId="24" fillId="0" borderId="36" xfId="1" applyNumberFormat="1" applyBorder="1" applyAlignment="1" applyProtection="1">
      <alignment horizontal="center" vertical="center"/>
    </xf>
    <xf numFmtId="0" fontId="47" fillId="0" borderId="9" xfId="12" applyFont="1" applyBorder="1" applyAlignment="1">
      <alignment horizontal="left" wrapText="1"/>
    </xf>
    <xf numFmtId="0" fontId="47" fillId="10" borderId="9" xfId="12" applyFont="1" applyFill="1" applyBorder="1" applyAlignment="1">
      <alignment horizontal="left" wrapText="1"/>
    </xf>
    <xf numFmtId="0" fontId="0" fillId="10" borderId="9" xfId="0" applyFont="1" applyFill="1" applyBorder="1"/>
    <xf numFmtId="167" fontId="25" fillId="10" borderId="9" xfId="2" applyNumberFormat="1" applyFill="1" applyBorder="1"/>
    <xf numFmtId="0" fontId="24" fillId="10" borderId="9" xfId="1" applyFill="1" applyBorder="1"/>
    <xf numFmtId="167" fontId="25" fillId="10" borderId="9" xfId="7" applyNumberFormat="1" applyFill="1" applyBorder="1"/>
    <xf numFmtId="167" fontId="25" fillId="10" borderId="48" xfId="3" applyNumberFormat="1" applyFill="1" applyBorder="1"/>
    <xf numFmtId="0" fontId="0" fillId="10" borderId="0" xfId="0" applyFill="1"/>
    <xf numFmtId="43" fontId="25" fillId="0" borderId="9" xfId="29" applyFont="1" applyBorder="1"/>
    <xf numFmtId="43" fontId="25" fillId="0" borderId="48" xfId="29" applyFont="1" applyBorder="1"/>
    <xf numFmtId="0" fontId="28" fillId="0" borderId="22" xfId="12" applyBorder="1" applyAlignment="1" applyProtection="1">
      <alignment horizontal="left" wrapText="1"/>
    </xf>
    <xf numFmtId="0" fontId="28" fillId="0" borderId="10" xfId="12" applyBorder="1" applyAlignment="1" applyProtection="1">
      <alignment horizontal="left" wrapText="1"/>
    </xf>
    <xf numFmtId="168" fontId="25" fillId="0" borderId="14" xfId="2" applyNumberFormat="1" applyBorder="1"/>
    <xf numFmtId="0" fontId="41" fillId="0" borderId="61" xfId="0" applyFont="1" applyBorder="1" applyAlignment="1">
      <alignment horizontal="left" vertical="center" wrapText="1"/>
    </xf>
    <xf numFmtId="171" fontId="24" fillId="0" borderId="36" xfId="1" applyNumberFormat="1" applyBorder="1" applyAlignment="1" applyProtection="1">
      <alignment horizontal="center" vertical="center"/>
    </xf>
    <xf numFmtId="168" fontId="25" fillId="0" borderId="9" xfId="2" applyNumberFormat="1" applyBorder="1"/>
    <xf numFmtId="168" fontId="25" fillId="0" borderId="9" xfId="29" applyNumberFormat="1" applyFont="1" applyBorder="1"/>
    <xf numFmtId="172" fontId="24" fillId="0" borderId="36" xfId="1" applyNumberFormat="1" applyBorder="1" applyAlignment="1" applyProtection="1">
      <alignment horizontal="center" vertical="center"/>
    </xf>
    <xf numFmtId="168" fontId="25" fillId="0" borderId="0" xfId="2" applyNumberFormat="1" applyBorder="1"/>
    <xf numFmtId="168" fontId="25" fillId="0" borderId="0" xfId="2" applyNumberFormat="1" applyFill="1"/>
    <xf numFmtId="0" fontId="18" fillId="10" borderId="0" xfId="11" applyAlignment="1">
      <alignment vertical="center" wrapText="1"/>
    </xf>
    <xf numFmtId="171" fontId="25" fillId="0" borderId="14" xfId="2" applyNumberFormat="1" applyBorder="1"/>
    <xf numFmtId="171" fontId="25" fillId="0" borderId="9" xfId="2" applyNumberFormat="1" applyBorder="1"/>
    <xf numFmtId="0" fontId="28" fillId="0" borderId="62" xfId="16" applyBorder="1">
      <alignment vertical="center" wrapText="1"/>
    </xf>
    <xf numFmtId="43" fontId="26" fillId="0" borderId="62" xfId="29" applyFont="1" applyBorder="1" applyAlignment="1">
      <alignment horizontal="right" vertical="center" wrapText="1"/>
    </xf>
    <xf numFmtId="0" fontId="37" fillId="12" borderId="9" xfId="13" applyFont="1" applyBorder="1">
      <alignment vertical="center" wrapText="1"/>
    </xf>
    <xf numFmtId="0" fontId="18" fillId="0" borderId="62" xfId="15" applyBorder="1">
      <alignment horizontal="center" vertical="center"/>
    </xf>
    <xf numFmtId="0" fontId="28" fillId="0" borderId="62" xfId="12" applyBorder="1" applyAlignment="1">
      <alignment horizontal="left" wrapText="1"/>
    </xf>
    <xf numFmtId="43" fontId="13" fillId="0" borderId="62" xfId="29" applyFont="1" applyFill="1" applyBorder="1" applyAlignment="1">
      <alignment horizontal="center" vertical="center" wrapText="1"/>
    </xf>
    <xf numFmtId="43" fontId="13" fillId="0" borderId="0" xfId="29" applyFont="1" applyFill="1" applyBorder="1" applyAlignment="1">
      <alignment horizontal="center" vertical="center" wrapText="1"/>
    </xf>
    <xf numFmtId="43" fontId="24" fillId="0" borderId="36" xfId="29" applyNumberFormat="1" applyFont="1" applyBorder="1" applyAlignment="1" applyProtection="1">
      <alignment horizontal="center" vertical="center"/>
    </xf>
    <xf numFmtId="0" fontId="18" fillId="0" borderId="20" xfId="15" applyBorder="1">
      <alignment horizontal="center" vertical="center"/>
    </xf>
    <xf numFmtId="0" fontId="17" fillId="10" borderId="0" xfId="10" applyFill="1">
      <alignment horizontal="center" vertical="top" wrapText="1"/>
    </xf>
    <xf numFmtId="0" fontId="20" fillId="10" borderId="0" xfId="0" applyFont="1" applyFill="1" applyBorder="1" applyAlignment="1">
      <alignment horizontal="center" wrapText="1"/>
    </xf>
    <xf numFmtId="0" fontId="21" fillId="10" borderId="0" xfId="9" applyNumberFormat="1" applyFont="1" applyFill="1" applyBorder="1" applyAlignment="1">
      <alignment horizontal="center" wrapText="1"/>
    </xf>
    <xf numFmtId="0" fontId="17" fillId="10" borderId="0" xfId="10" applyFont="1" applyFill="1">
      <alignment horizontal="center" vertical="top" wrapText="1"/>
    </xf>
    <xf numFmtId="0" fontId="18" fillId="10" borderId="0" xfId="11">
      <alignment horizontal="left" vertical="center" wrapText="1"/>
    </xf>
    <xf numFmtId="168" fontId="24" fillId="0" borderId="36" xfId="1" applyNumberFormat="1" applyBorder="1" applyAlignment="1" applyProtection="1">
      <alignment horizontal="center" vertical="center"/>
    </xf>
    <xf numFmtId="166" fontId="24" fillId="0" borderId="36" xfId="1" applyNumberFormat="1" applyBorder="1" applyAlignment="1" applyProtection="1">
      <alignment horizontal="center" vertical="center"/>
    </xf>
    <xf numFmtId="164" fontId="24" fillId="0" borderId="38" xfId="1" applyNumberFormat="1" applyBorder="1" applyAlignment="1" applyProtection="1">
      <alignment horizontal="center" vertical="center"/>
    </xf>
    <xf numFmtId="168" fontId="24" fillId="0" borderId="38" xfId="1" applyNumberFormat="1" applyBorder="1" applyAlignment="1" applyProtection="1">
      <alignment horizontal="center" vertical="center"/>
    </xf>
    <xf numFmtId="164" fontId="24" fillId="0" borderId="36" xfId="1" applyNumberFormat="1" applyBorder="1" applyAlignment="1" applyProtection="1">
      <alignment horizontal="left" vertical="center"/>
    </xf>
    <xf numFmtId="168" fontId="24" fillId="0" borderId="0" xfId="1" applyNumberFormat="1" applyBorder="1" applyAlignment="1" applyProtection="1">
      <alignment horizontal="left" vertical="center"/>
    </xf>
    <xf numFmtId="171" fontId="25" fillId="0" borderId="0" xfId="2" applyNumberFormat="1"/>
    <xf numFmtId="166" fontId="24" fillId="0" borderId="14" xfId="2" applyNumberFormat="1" applyFont="1" applyBorder="1"/>
    <xf numFmtId="166" fontId="26" fillId="0" borderId="0" xfId="21" applyNumberFormat="1" applyFont="1" applyBorder="1" applyAlignment="1" applyProtection="1">
      <alignment horizontal="right" indent="3"/>
      <protection locked="0"/>
    </xf>
    <xf numFmtId="0" fontId="24" fillId="0" borderId="0" xfId="1" applyFill="1" applyAlignment="1">
      <alignment horizontal="center" vertical="center"/>
    </xf>
    <xf numFmtId="0" fontId="18" fillId="12" borderId="0" xfId="10" applyFont="1" applyBorder="1" applyAlignment="1" applyProtection="1">
      <alignment horizontal="left" vertical="top" wrapText="1"/>
    </xf>
    <xf numFmtId="43" fontId="25" fillId="0" borderId="0" xfId="29" applyFont="1" applyBorder="1" applyAlignment="1">
      <alignment horizontal="right"/>
    </xf>
    <xf numFmtId="166" fontId="25" fillId="0" borderId="0" xfId="2" applyNumberFormat="1" applyBorder="1"/>
    <xf numFmtId="1" fontId="18" fillId="0" borderId="0" xfId="17" applyNumberFormat="1" applyFont="1" applyBorder="1">
      <alignment horizontal="right" vertical="center" wrapText="1"/>
    </xf>
    <xf numFmtId="1" fontId="18" fillId="0" borderId="0" xfId="24" applyNumberFormat="1" applyFont="1" applyBorder="1">
      <alignment horizontal="right" vertical="center"/>
    </xf>
    <xf numFmtId="0" fontId="45" fillId="0" borderId="0" xfId="0" applyFont="1"/>
    <xf numFmtId="0" fontId="0" fillId="0" borderId="63" xfId="0" applyBorder="1" applyAlignment="1">
      <alignment wrapText="1"/>
    </xf>
    <xf numFmtId="0" fontId="0" fillId="0" borderId="64" xfId="0" applyBorder="1" applyAlignment="1">
      <alignment wrapText="1"/>
    </xf>
    <xf numFmtId="0" fontId="0" fillId="0" borderId="64" xfId="0" applyBorder="1" applyAlignment="1">
      <alignment horizontal="right" wrapText="1"/>
    </xf>
    <xf numFmtId="0" fontId="0" fillId="0" borderId="65" xfId="0" applyBorder="1" applyAlignment="1">
      <alignment wrapText="1"/>
    </xf>
    <xf numFmtId="0" fontId="0" fillId="0" borderId="66" xfId="0" applyBorder="1" applyAlignment="1">
      <alignment wrapText="1"/>
    </xf>
    <xf numFmtId="0" fontId="0" fillId="0" borderId="66" xfId="0" applyBorder="1" applyAlignment="1">
      <alignment horizontal="right" wrapText="1"/>
    </xf>
    <xf numFmtId="0" fontId="0" fillId="10" borderId="67" xfId="0" applyFill="1" applyBorder="1" applyAlignment="1">
      <alignment wrapText="1"/>
    </xf>
    <xf numFmtId="0" fontId="3" fillId="10" borderId="65" xfId="0" applyFont="1" applyFill="1" applyBorder="1" applyAlignment="1">
      <alignment horizontal="center" vertical="center" wrapText="1"/>
    </xf>
    <xf numFmtId="0" fontId="3" fillId="10" borderId="66" xfId="0" applyFont="1" applyFill="1" applyBorder="1" applyAlignment="1">
      <alignment horizontal="center" vertical="center" wrapText="1"/>
    </xf>
    <xf numFmtId="0" fontId="51" fillId="10" borderId="67" xfId="0" applyFont="1" applyFill="1" applyBorder="1" applyAlignment="1">
      <alignment vertical="center"/>
    </xf>
    <xf numFmtId="0" fontId="45" fillId="0" borderId="0" xfId="0" applyFont="1" applyBorder="1" applyAlignment="1">
      <alignment wrapText="1"/>
    </xf>
    <xf numFmtId="0" fontId="45" fillId="0" borderId="0" xfId="0" applyFont="1" applyBorder="1" applyAlignment="1">
      <alignment horizontal="right" wrapText="1"/>
    </xf>
    <xf numFmtId="0" fontId="54" fillId="0" borderId="0" xfId="0" applyFont="1"/>
    <xf numFmtId="0" fontId="26" fillId="8" borderId="0" xfId="11" applyFont="1" applyFill="1">
      <alignment horizontal="left" vertical="center" wrapText="1"/>
    </xf>
    <xf numFmtId="0" fontId="18" fillId="8" borderId="0" xfId="11" applyFill="1">
      <alignment horizontal="left" vertical="center" wrapText="1"/>
    </xf>
    <xf numFmtId="0" fontId="52" fillId="8" borderId="0" xfId="0" applyFont="1" applyFill="1"/>
    <xf numFmtId="0" fontId="58" fillId="0" borderId="0" xfId="0" applyFont="1" applyFill="1" applyBorder="1"/>
    <xf numFmtId="0" fontId="17" fillId="0" borderId="0" xfId="20" applyFill="1" applyAlignment="1">
      <alignment vertical="top"/>
    </xf>
    <xf numFmtId="0" fontId="51" fillId="8" borderId="0" xfId="0" applyFont="1" applyFill="1"/>
    <xf numFmtId="1" fontId="59" fillId="0" borderId="10" xfId="17" applyNumberFormat="1" applyFont="1" applyBorder="1">
      <alignment horizontal="right" vertical="center" wrapText="1"/>
    </xf>
    <xf numFmtId="0" fontId="17" fillId="0" borderId="0" xfId="20" applyFill="1" applyBorder="1" applyAlignment="1">
      <alignment horizontal="center" vertical="top"/>
    </xf>
    <xf numFmtId="0" fontId="18" fillId="0" borderId="70" xfId="15" applyBorder="1">
      <alignment horizontal="center" vertical="center"/>
    </xf>
    <xf numFmtId="0" fontId="28" fillId="0" borderId="70" xfId="12" applyBorder="1" applyAlignment="1">
      <alignment horizontal="left" wrapText="1"/>
    </xf>
    <xf numFmtId="1" fontId="26" fillId="0" borderId="70" xfId="17" applyNumberFormat="1" applyBorder="1">
      <alignment horizontal="right" vertical="center" wrapText="1"/>
    </xf>
    <xf numFmtId="1" fontId="26" fillId="0" borderId="70" xfId="24" applyNumberFormat="1" applyBorder="1">
      <alignment horizontal="right" vertical="center"/>
    </xf>
    <xf numFmtId="0" fontId="28" fillId="0" borderId="70" xfId="16" applyBorder="1">
      <alignment vertical="center" wrapText="1"/>
    </xf>
    <xf numFmtId="0" fontId="28" fillId="0" borderId="70" xfId="16" applyBorder="1" applyAlignment="1">
      <alignment horizontal="left"/>
    </xf>
    <xf numFmtId="0" fontId="18" fillId="12" borderId="70" xfId="13" applyBorder="1">
      <alignment vertical="center" wrapText="1"/>
    </xf>
    <xf numFmtId="1" fontId="26" fillId="12" borderId="70" xfId="18" applyNumberFormat="1" applyBorder="1">
      <alignment horizontal="right" vertical="center" wrapText="1"/>
    </xf>
    <xf numFmtId="0" fontId="28" fillId="0" borderId="70" xfId="12" applyBorder="1" applyAlignment="1" applyProtection="1">
      <alignment horizontal="left" wrapText="1"/>
    </xf>
    <xf numFmtId="167" fontId="26" fillId="0" borderId="70" xfId="17" applyNumberFormat="1" applyBorder="1">
      <alignment horizontal="right" vertical="center" wrapText="1"/>
    </xf>
    <xf numFmtId="167" fontId="26" fillId="0" borderId="70" xfId="24" applyNumberFormat="1" applyBorder="1">
      <alignment horizontal="right" vertical="center"/>
    </xf>
    <xf numFmtId="0" fontId="18" fillId="12" borderId="70" xfId="13" applyFont="1" applyBorder="1">
      <alignment vertical="center" wrapText="1"/>
    </xf>
    <xf numFmtId="1" fontId="18" fillId="12" borderId="70" xfId="18" applyNumberFormat="1" applyFont="1" applyBorder="1">
      <alignment horizontal="right" vertical="center" wrapText="1"/>
    </xf>
    <xf numFmtId="167" fontId="18" fillId="12" borderId="70" xfId="18" applyNumberFormat="1" applyFont="1" applyBorder="1">
      <alignment horizontal="right" vertical="center" wrapText="1"/>
    </xf>
    <xf numFmtId="167" fontId="60" fillId="0" borderId="62" xfId="0" applyNumberFormat="1" applyFont="1" applyFill="1" applyBorder="1" applyAlignment="1">
      <alignment horizontal="center" wrapText="1"/>
    </xf>
    <xf numFmtId="43" fontId="60" fillId="0" borderId="0" xfId="29" applyFont="1" applyFill="1" applyBorder="1" applyAlignment="1">
      <alignment horizontal="center" wrapText="1"/>
    </xf>
    <xf numFmtId="167" fontId="60" fillId="0" borderId="0" xfId="0" applyNumberFormat="1" applyFont="1" applyFill="1" applyBorder="1" applyAlignment="1">
      <alignment horizontal="center" wrapText="1"/>
    </xf>
    <xf numFmtId="167" fontId="60" fillId="0" borderId="18" xfId="17" applyNumberFormat="1" applyFont="1" applyBorder="1">
      <alignment horizontal="right" vertical="center" wrapText="1"/>
    </xf>
    <xf numFmtId="167" fontId="60" fillId="0" borderId="12" xfId="17" applyNumberFormat="1" applyFont="1" applyBorder="1">
      <alignment horizontal="right" vertical="center" wrapText="1"/>
    </xf>
    <xf numFmtId="167" fontId="60" fillId="0" borderId="15" xfId="17" applyNumberFormat="1" applyFont="1" applyBorder="1">
      <alignment horizontal="right" vertical="center" wrapText="1"/>
    </xf>
    <xf numFmtId="167" fontId="60" fillId="0" borderId="17" xfId="17" applyNumberFormat="1" applyFont="1" applyBorder="1">
      <alignment horizontal="right" vertical="center" wrapText="1"/>
    </xf>
    <xf numFmtId="1" fontId="26" fillId="0" borderId="70" xfId="24" applyNumberFormat="1" applyBorder="1" applyAlignment="1">
      <alignment horizontal="right" vertical="center"/>
    </xf>
    <xf numFmtId="0" fontId="26" fillId="0" borderId="70" xfId="24" applyBorder="1" applyAlignment="1">
      <alignment horizontal="right" vertical="center"/>
    </xf>
    <xf numFmtId="43" fontId="26" fillId="0" borderId="70" xfId="29" applyNumberFormat="1" applyFont="1" applyBorder="1" applyAlignment="1">
      <alignment horizontal="right" vertical="center" wrapText="1"/>
    </xf>
    <xf numFmtId="0" fontId="18" fillId="12" borderId="70" xfId="11" applyFill="1" applyBorder="1">
      <alignment horizontal="left" vertical="center" wrapText="1"/>
    </xf>
    <xf numFmtId="43" fontId="26" fillId="12" borderId="70" xfId="29" applyFont="1" applyFill="1" applyBorder="1" applyAlignment="1">
      <alignment horizontal="right" vertical="center" wrapText="1"/>
    </xf>
    <xf numFmtId="0" fontId="49" fillId="8" borderId="70" xfId="0" applyFont="1" applyFill="1" applyBorder="1"/>
    <xf numFmtId="0" fontId="18" fillId="8" borderId="70" xfId="0" applyFont="1" applyFill="1" applyBorder="1" applyAlignment="1">
      <alignment horizontal="center" wrapText="1"/>
    </xf>
    <xf numFmtId="0" fontId="34" fillId="0" borderId="70" xfId="0" applyFont="1" applyBorder="1"/>
    <xf numFmtId="175" fontId="57" fillId="0" borderId="70" xfId="29" applyNumberFormat="1" applyFont="1" applyBorder="1" applyAlignment="1">
      <alignment vertical="center"/>
    </xf>
    <xf numFmtId="175" fontId="56" fillId="0" borderId="70" xfId="29" applyNumberFormat="1" applyFont="1" applyBorder="1" applyAlignment="1">
      <alignment vertical="center"/>
    </xf>
    <xf numFmtId="175" fontId="28" fillId="0" borderId="70" xfId="29" applyNumberFormat="1" applyFont="1" applyBorder="1" applyAlignment="1">
      <alignment vertical="center"/>
    </xf>
    <xf numFmtId="0" fontId="55" fillId="0" borderId="70" xfId="0" applyFont="1" applyFill="1" applyBorder="1"/>
    <xf numFmtId="1" fontId="26" fillId="0" borderId="70" xfId="0" applyNumberFormat="1" applyFont="1" applyBorder="1"/>
    <xf numFmtId="1" fontId="55" fillId="0" borderId="70" xfId="0" applyNumberFormat="1" applyFont="1" applyBorder="1"/>
    <xf numFmtId="1" fontId="18" fillId="0" borderId="70" xfId="0" applyNumberFormat="1" applyFont="1" applyBorder="1"/>
    <xf numFmtId="43" fontId="26" fillId="0" borderId="70" xfId="29" applyFont="1" applyBorder="1" applyAlignment="1">
      <alignment horizontal="center" vertical="center"/>
    </xf>
    <xf numFmtId="43" fontId="28" fillId="0" borderId="70" xfId="29" applyFont="1" applyBorder="1" applyAlignment="1">
      <alignment horizontal="center" vertical="center"/>
    </xf>
    <xf numFmtId="167" fontId="57" fillId="0" borderId="70" xfId="24" applyNumberFormat="1" applyFont="1" applyBorder="1">
      <alignment horizontal="right" vertical="center"/>
    </xf>
    <xf numFmtId="0" fontId="28" fillId="0" borderId="70" xfId="12" applyBorder="1" applyAlignment="1">
      <alignment wrapText="1"/>
    </xf>
    <xf numFmtId="2" fontId="26" fillId="12" borderId="70" xfId="18" applyNumberFormat="1" applyBorder="1">
      <alignment horizontal="right" vertical="center" wrapText="1"/>
    </xf>
    <xf numFmtId="167" fontId="57" fillId="0" borderId="70" xfId="17" applyNumberFormat="1" applyFont="1" applyBorder="1">
      <alignment horizontal="right" vertical="center" wrapText="1"/>
    </xf>
    <xf numFmtId="0" fontId="34" fillId="0" borderId="70" xfId="16" applyFont="1" applyBorder="1">
      <alignment vertical="center" wrapText="1"/>
    </xf>
    <xf numFmtId="1" fontId="55" fillId="0" borderId="70" xfId="17" applyNumberFormat="1" applyFont="1" applyBorder="1">
      <alignment horizontal="right" vertical="center" wrapText="1"/>
    </xf>
    <xf numFmtId="1" fontId="55" fillId="0" borderId="70" xfId="24" applyNumberFormat="1" applyFont="1" applyBorder="1">
      <alignment horizontal="right" vertical="center"/>
    </xf>
    <xf numFmtId="0" fontId="18" fillId="10" borderId="0" xfId="11">
      <alignment horizontal="left" vertical="center" wrapText="1"/>
    </xf>
    <xf numFmtId="0" fontId="29" fillId="0" borderId="56" xfId="1" applyFont="1" applyBorder="1" applyAlignment="1" applyProtection="1">
      <alignment horizontal="left" vertical="center" wrapText="1"/>
    </xf>
    <xf numFmtId="167" fontId="24" fillId="0" borderId="56" xfId="1" applyNumberFormat="1" applyBorder="1" applyAlignment="1" applyProtection="1">
      <alignment horizontal="center" vertical="center"/>
    </xf>
    <xf numFmtId="0" fontId="24" fillId="0" borderId="56" xfId="1" applyBorder="1" applyAlignment="1" applyProtection="1">
      <alignment horizontal="center" vertical="center"/>
    </xf>
    <xf numFmtId="173" fontId="24" fillId="0" borderId="56" xfId="1" applyNumberFormat="1" applyBorder="1" applyAlignment="1" applyProtection="1">
      <alignment horizontal="center" vertical="center"/>
    </xf>
    <xf numFmtId="168" fontId="24" fillId="0" borderId="56" xfId="1" applyNumberFormat="1" applyBorder="1" applyAlignment="1" applyProtection="1">
      <alignment horizontal="center" vertical="center"/>
    </xf>
    <xf numFmtId="0" fontId="29" fillId="0" borderId="38" xfId="1" applyFont="1" applyBorder="1" applyAlignment="1" applyProtection="1">
      <alignment horizontal="left" vertical="center" wrapText="1"/>
    </xf>
    <xf numFmtId="0" fontId="28" fillId="0" borderId="71" xfId="12" applyBorder="1" applyAlignment="1" applyProtection="1">
      <alignment horizontal="left" wrapText="1"/>
    </xf>
    <xf numFmtId="167" fontId="24" fillId="0" borderId="71" xfId="1" applyNumberFormat="1" applyBorder="1" applyAlignment="1" applyProtection="1">
      <alignment horizontal="center" vertical="center"/>
    </xf>
    <xf numFmtId="173" fontId="24" fillId="0" borderId="71" xfId="1" applyNumberFormat="1" applyBorder="1" applyAlignment="1" applyProtection="1">
      <alignment horizontal="center" vertical="center"/>
    </xf>
    <xf numFmtId="0" fontId="24" fillId="0" borderId="71" xfId="1" applyBorder="1" applyAlignment="1" applyProtection="1">
      <alignment horizontal="center" vertical="center"/>
    </xf>
    <xf numFmtId="164" fontId="24" fillId="0" borderId="71" xfId="1" applyNumberFormat="1" applyBorder="1" applyAlignment="1" applyProtection="1">
      <alignment horizontal="center" vertical="center"/>
    </xf>
    <xf numFmtId="0" fontId="61" fillId="0" borderId="0" xfId="0" applyFont="1"/>
    <xf numFmtId="0" fontId="28" fillId="0" borderId="72" xfId="12" applyBorder="1" applyAlignment="1">
      <alignment horizontal="left" wrapText="1"/>
    </xf>
    <xf numFmtId="167" fontId="24" fillId="0" borderId="36" xfId="1" applyNumberFormat="1" applyBorder="1" applyAlignment="1" applyProtection="1">
      <alignment horizontal="left" vertical="center"/>
    </xf>
    <xf numFmtId="1" fontId="0" fillId="0" borderId="0" xfId="0" applyNumberFormat="1" applyFont="1" applyFill="1"/>
    <xf numFmtId="0" fontId="62" fillId="8" borderId="0" xfId="11" applyFont="1" applyFill="1">
      <alignment horizontal="left" vertical="center" wrapText="1"/>
    </xf>
    <xf numFmtId="1" fontId="62" fillId="0" borderId="10" xfId="24" applyNumberFormat="1" applyFont="1" applyBorder="1">
      <alignment horizontal="right" vertical="center"/>
    </xf>
    <xf numFmtId="0" fontId="28" fillId="0" borderId="9" xfId="12" applyFill="1" applyBorder="1" applyAlignment="1">
      <alignment horizontal="left" wrapText="1"/>
    </xf>
    <xf numFmtId="167" fontId="26" fillId="0" borderId="9" xfId="21" applyNumberFormat="1" applyFont="1" applyFill="1" applyBorder="1" applyAlignment="1" applyProtection="1">
      <alignment horizontal="right" indent="3"/>
      <protection locked="0"/>
    </xf>
    <xf numFmtId="166" fontId="26" fillId="0" borderId="0" xfId="21" applyNumberFormat="1" applyFont="1" applyFill="1" applyBorder="1" applyAlignment="1" applyProtection="1">
      <alignment horizontal="right" indent="3"/>
      <protection locked="0"/>
    </xf>
    <xf numFmtId="0" fontId="64" fillId="0" borderId="60" xfId="0" applyFont="1" applyBorder="1" applyAlignment="1">
      <alignment horizontal="center" vertical="center" wrapText="1"/>
    </xf>
    <xf numFmtId="14" fontId="64" fillId="0" borderId="60" xfId="0" applyNumberFormat="1" applyFont="1" applyBorder="1" applyAlignment="1">
      <alignment horizontal="center" vertical="center" wrapText="1"/>
    </xf>
    <xf numFmtId="0" fontId="64" fillId="0" borderId="61" xfId="0" applyFont="1" applyBorder="1" applyAlignment="1">
      <alignment horizontal="left" vertical="center" wrapText="1"/>
    </xf>
    <xf numFmtId="0" fontId="28" fillId="0" borderId="21" xfId="12" applyFill="1" applyBorder="1" applyAlignment="1">
      <alignment horizontal="left" wrapText="1"/>
    </xf>
    <xf numFmtId="0" fontId="18" fillId="10" borderId="0" xfId="11">
      <alignment horizontal="left" vertical="center" wrapText="1"/>
    </xf>
    <xf numFmtId="0" fontId="4" fillId="0" borderId="0" xfId="9" applyNumberFormat="1" applyFill="1" applyBorder="1" applyAlignment="1" applyProtection="1"/>
    <xf numFmtId="0" fontId="64" fillId="14" borderId="60" xfId="0" applyFont="1" applyFill="1" applyBorder="1" applyAlignment="1">
      <alignment horizontal="center" vertical="center" wrapText="1"/>
    </xf>
    <xf numFmtId="14" fontId="64" fillId="14" borderId="60" xfId="0" applyNumberFormat="1" applyFont="1" applyFill="1" applyBorder="1" applyAlignment="1">
      <alignment horizontal="center" vertical="center" wrapText="1"/>
    </xf>
    <xf numFmtId="0" fontId="64" fillId="14" borderId="61" xfId="0" applyFont="1" applyFill="1" applyBorder="1" applyAlignment="1">
      <alignment horizontal="left" vertical="center" wrapText="1"/>
    </xf>
    <xf numFmtId="0" fontId="4" fillId="0" borderId="0" xfId="9" applyAlignment="1">
      <alignment horizontal="left"/>
    </xf>
    <xf numFmtId="0" fontId="28" fillId="0" borderId="56" xfId="12" applyBorder="1" applyAlignment="1" applyProtection="1">
      <alignment horizontal="left" vertical="center" wrapText="1"/>
    </xf>
    <xf numFmtId="0" fontId="4" fillId="0" borderId="0" xfId="9" applyAlignment="1">
      <alignment horizontal="left"/>
    </xf>
    <xf numFmtId="0" fontId="0" fillId="0" borderId="0" xfId="0" applyAlignment="1">
      <alignment horizontal="left"/>
    </xf>
    <xf numFmtId="0" fontId="3" fillId="0" borderId="0" xfId="0" applyFont="1" applyAlignment="1">
      <alignment horizontal="right"/>
    </xf>
    <xf numFmtId="0" fontId="17" fillId="9" borderId="0" xfId="0" applyFont="1" applyFill="1" applyAlignment="1">
      <alignment horizontal="center" vertical="center" wrapText="1"/>
    </xf>
    <xf numFmtId="0" fontId="30" fillId="9" borderId="0" xfId="0" applyFont="1" applyFill="1" applyAlignment="1">
      <alignment horizontal="center" vertical="center" wrapText="1"/>
    </xf>
    <xf numFmtId="0" fontId="27" fillId="9" borderId="0" xfId="0" applyFont="1" applyFill="1" applyAlignment="1">
      <alignment horizontal="center" vertical="center" wrapText="1"/>
    </xf>
    <xf numFmtId="0" fontId="23" fillId="9" borderId="0" xfId="0" applyFont="1" applyFill="1" applyAlignment="1">
      <alignment horizontal="center" vertical="center" wrapText="1"/>
    </xf>
    <xf numFmtId="0" fontId="28" fillId="11" borderId="0" xfId="0" applyFont="1" applyFill="1" applyAlignment="1">
      <alignment horizontal="left" vertical="top" wrapText="1" shrinkToFit="1"/>
    </xf>
    <xf numFmtId="0" fontId="29" fillId="12" borderId="0" xfId="0" applyFont="1" applyFill="1" applyAlignment="1">
      <alignment vertical="top" wrapText="1" shrinkToFit="1"/>
    </xf>
    <xf numFmtId="0" fontId="31" fillId="9" borderId="0" xfId="0" applyFont="1" applyFill="1" applyAlignment="1">
      <alignment horizontal="left" vertical="center" wrapText="1"/>
    </xf>
    <xf numFmtId="0" fontId="32" fillId="0" borderId="0" xfId="0" applyFont="1" applyAlignment="1">
      <alignment horizontal="right"/>
    </xf>
    <xf numFmtId="0" fontId="43" fillId="10" borderId="0" xfId="19" applyFont="1" applyAlignment="1">
      <alignment horizontal="center" vertical="center" wrapText="1"/>
    </xf>
    <xf numFmtId="0" fontId="22" fillId="8" borderId="0" xfId="19" applyFill="1" applyAlignment="1">
      <alignment horizontal="left" vertical="center"/>
    </xf>
    <xf numFmtId="0" fontId="22" fillId="8" borderId="0" xfId="19" applyFill="1" applyAlignment="1">
      <alignment horizontal="left" vertical="center" wrapText="1"/>
    </xf>
    <xf numFmtId="0" fontId="8" fillId="0" borderId="0" xfId="9" applyFont="1" applyAlignment="1">
      <alignment horizontal="center"/>
    </xf>
    <xf numFmtId="0" fontId="36" fillId="9" borderId="0" xfId="0" applyFont="1" applyFill="1" applyAlignment="1">
      <alignment horizontal="left" vertical="center" wrapText="1"/>
    </xf>
    <xf numFmtId="0" fontId="36" fillId="12" borderId="26" xfId="27" applyFont="1" applyBorder="1" applyAlignment="1">
      <alignment horizontal="left" vertical="top" wrapText="1"/>
    </xf>
    <xf numFmtId="0" fontId="36" fillId="12" borderId="27" xfId="27" applyFont="1" applyBorder="1" applyAlignment="1">
      <alignment horizontal="left" vertical="top" wrapText="1"/>
    </xf>
    <xf numFmtId="0" fontId="36" fillId="12" borderId="28" xfId="27" applyFont="1" applyBorder="1" applyAlignment="1">
      <alignment horizontal="left" vertical="top" wrapText="1"/>
    </xf>
    <xf numFmtId="0" fontId="36" fillId="12" borderId="29" xfId="27" applyFont="1" applyBorder="1" applyAlignment="1">
      <alignment horizontal="left" vertical="top" wrapText="1"/>
    </xf>
    <xf numFmtId="0" fontId="36" fillId="12" borderId="0" xfId="27" applyFont="1" applyBorder="1" applyAlignment="1">
      <alignment horizontal="left" vertical="top" wrapText="1"/>
    </xf>
    <xf numFmtId="0" fontId="36" fillId="12" borderId="30" xfId="27" applyFont="1" applyBorder="1" applyAlignment="1">
      <alignment horizontal="left" vertical="top" wrapText="1"/>
    </xf>
    <xf numFmtId="0" fontId="36" fillId="12" borderId="31" xfId="27" applyFont="1" applyBorder="1" applyAlignment="1">
      <alignment horizontal="left" vertical="top" wrapText="1"/>
    </xf>
    <xf numFmtId="0" fontId="36" fillId="12" borderId="32" xfId="27" applyFont="1" applyBorder="1" applyAlignment="1">
      <alignment horizontal="left" vertical="top" wrapText="1"/>
    </xf>
    <xf numFmtId="0" fontId="36" fillId="12" borderId="33" xfId="27" applyFont="1" applyBorder="1" applyAlignment="1">
      <alignment horizontal="left" vertical="top" wrapText="1"/>
    </xf>
    <xf numFmtId="0" fontId="36" fillId="12" borderId="23" xfId="27" applyFont="1" applyAlignment="1">
      <alignment horizontal="left" vertical="top" wrapText="1"/>
    </xf>
    <xf numFmtId="0" fontId="36" fillId="12" borderId="23" xfId="27" applyFont="1" applyAlignment="1">
      <alignment horizontal="left" vertical="top"/>
    </xf>
    <xf numFmtId="0" fontId="18" fillId="10" borderId="0" xfId="11" applyAlignment="1">
      <alignment horizontal="center" vertical="center" wrapText="1"/>
    </xf>
    <xf numFmtId="0" fontId="18" fillId="10" borderId="0" xfId="11" applyBorder="1">
      <alignment horizontal="left" vertical="center" wrapText="1"/>
    </xf>
    <xf numFmtId="0" fontId="4" fillId="10" borderId="0" xfId="9" applyNumberFormat="1" applyFill="1" applyBorder="1" applyAlignment="1">
      <alignment horizontal="center" vertical="center" wrapText="1"/>
    </xf>
    <xf numFmtId="0" fontId="18" fillId="10" borderId="0" xfId="11">
      <alignment horizontal="left" vertical="center" wrapText="1"/>
    </xf>
    <xf numFmtId="0" fontId="17" fillId="12" borderId="0" xfId="10">
      <alignment horizontal="center" vertical="top" wrapText="1"/>
    </xf>
    <xf numFmtId="0" fontId="4" fillId="10" borderId="0" xfId="9" applyNumberFormat="1" applyFill="1" applyBorder="1" applyAlignment="1">
      <alignment horizontal="center" wrapText="1"/>
    </xf>
    <xf numFmtId="0" fontId="22" fillId="10" borderId="0" xfId="19" applyAlignment="1">
      <alignment horizontal="center" vertical="center" wrapText="1"/>
    </xf>
    <xf numFmtId="0" fontId="23" fillId="10" borderId="0" xfId="10" applyFont="1" applyFill="1">
      <alignment horizontal="center" vertical="top" wrapText="1"/>
    </xf>
    <xf numFmtId="0" fontId="17" fillId="10" borderId="0" xfId="10" applyFill="1" applyAlignment="1">
      <alignment horizontal="center" vertical="center" wrapText="1"/>
    </xf>
    <xf numFmtId="0" fontId="18" fillId="10" borderId="16" xfId="11" applyBorder="1">
      <alignment horizontal="left" vertical="center" wrapText="1"/>
    </xf>
    <xf numFmtId="0" fontId="17" fillId="12" borderId="0" xfId="10" applyAlignment="1">
      <alignment horizontal="center" vertical="top" wrapText="1"/>
    </xf>
    <xf numFmtId="0" fontId="28" fillId="0" borderId="46" xfId="12" applyBorder="1" applyAlignment="1">
      <alignment horizontal="left" wrapText="1"/>
    </xf>
    <xf numFmtId="0" fontId="18" fillId="10" borderId="50" xfId="11" applyBorder="1">
      <alignment horizontal="left" vertical="center" wrapText="1"/>
    </xf>
    <xf numFmtId="0" fontId="36" fillId="12" borderId="26" xfId="27" applyFont="1" applyBorder="1" applyAlignment="1">
      <alignment horizontal="center" vertical="top" wrapText="1"/>
    </xf>
    <xf numFmtId="0" fontId="36" fillId="12" borderId="27" xfId="27" applyFont="1" applyBorder="1" applyAlignment="1">
      <alignment horizontal="center" vertical="top" wrapText="1"/>
    </xf>
    <xf numFmtId="0" fontId="36" fillId="12" borderId="28" xfId="27" applyFont="1" applyBorder="1" applyAlignment="1">
      <alignment horizontal="center" vertical="top" wrapText="1"/>
    </xf>
    <xf numFmtId="0" fontId="36" fillId="12" borderId="29" xfId="27" applyFont="1" applyBorder="1" applyAlignment="1">
      <alignment horizontal="center" vertical="top" wrapText="1"/>
    </xf>
    <xf numFmtId="0" fontId="36" fillId="12" borderId="0" xfId="27" applyFont="1" applyBorder="1" applyAlignment="1">
      <alignment horizontal="center" vertical="top" wrapText="1"/>
    </xf>
    <xf numFmtId="0" fontId="36" fillId="12" borderId="30" xfId="27" applyFont="1" applyBorder="1" applyAlignment="1">
      <alignment horizontal="center" vertical="top" wrapText="1"/>
    </xf>
    <xf numFmtId="0" fontId="36" fillId="12" borderId="31" xfId="27" applyFont="1" applyBorder="1" applyAlignment="1">
      <alignment horizontal="center" vertical="top" wrapText="1"/>
    </xf>
    <xf numFmtId="0" fontId="36" fillId="12" borderId="32" xfId="27" applyFont="1" applyBorder="1" applyAlignment="1">
      <alignment horizontal="center" vertical="top" wrapText="1"/>
    </xf>
    <xf numFmtId="0" fontId="36" fillId="12" borderId="33" xfId="27" applyFont="1" applyBorder="1" applyAlignment="1">
      <alignment horizontal="center" vertical="top" wrapText="1"/>
    </xf>
    <xf numFmtId="0" fontId="18" fillId="10" borderId="70" xfId="11" applyBorder="1">
      <alignment horizontal="left" vertical="center" wrapText="1"/>
    </xf>
    <xf numFmtId="0" fontId="18" fillId="12" borderId="0" xfId="14" applyFont="1" applyBorder="1">
      <alignment horizontal="left" vertical="center" wrapText="1"/>
    </xf>
    <xf numFmtId="0" fontId="18" fillId="12" borderId="17" xfId="14" applyFont="1" applyBorder="1">
      <alignment horizontal="left" vertical="center" wrapText="1"/>
    </xf>
    <xf numFmtId="0" fontId="29" fillId="12" borderId="26" xfId="27" applyBorder="1" applyAlignment="1">
      <alignment horizontal="left" vertical="top" wrapText="1"/>
    </xf>
    <xf numFmtId="0" fontId="29" fillId="12" borderId="27" xfId="27" applyBorder="1" applyAlignment="1">
      <alignment horizontal="left" vertical="top"/>
    </xf>
    <xf numFmtId="0" fontId="29" fillId="12" borderId="28" xfId="27" applyBorder="1" applyAlignment="1">
      <alignment horizontal="left" vertical="top"/>
    </xf>
    <xf numFmtId="0" fontId="29" fillId="12" borderId="29" xfId="27" applyBorder="1" applyAlignment="1">
      <alignment horizontal="left" vertical="top"/>
    </xf>
    <xf numFmtId="0" fontId="29" fillId="12" borderId="0" xfId="27" applyBorder="1" applyAlignment="1">
      <alignment horizontal="left" vertical="top"/>
    </xf>
    <xf numFmtId="0" fontId="29" fillId="12" borderId="30" xfId="27" applyBorder="1" applyAlignment="1">
      <alignment horizontal="left" vertical="top"/>
    </xf>
    <xf numFmtId="0" fontId="29" fillId="12" borderId="31" xfId="27" applyBorder="1" applyAlignment="1">
      <alignment horizontal="left" vertical="top"/>
    </xf>
    <xf numFmtId="0" fontId="29" fillId="12" borderId="32" xfId="27" applyBorder="1" applyAlignment="1">
      <alignment horizontal="left" vertical="top"/>
    </xf>
    <xf numFmtId="0" fontId="29" fillId="12" borderId="33" xfId="27" applyBorder="1" applyAlignment="1">
      <alignment horizontal="left" vertical="top"/>
    </xf>
    <xf numFmtId="0" fontId="29" fillId="12" borderId="26" xfId="27" applyBorder="1" applyAlignment="1">
      <alignment horizontal="left" vertical="top"/>
    </xf>
    <xf numFmtId="0" fontId="29" fillId="12" borderId="23" xfId="27" applyAlignment="1">
      <alignment horizontal="left" vertical="top" wrapText="1"/>
    </xf>
    <xf numFmtId="0" fontId="29" fillId="12" borderId="23" xfId="27" applyAlignment="1">
      <alignment horizontal="left" vertical="top"/>
    </xf>
    <xf numFmtId="0" fontId="50" fillId="0" borderId="21" xfId="4" applyFont="1" applyBorder="1" applyAlignment="1">
      <alignment horizontal="center" vertical="center" wrapText="1"/>
    </xf>
    <xf numFmtId="0" fontId="50" fillId="0" borderId="0" xfId="4" applyFont="1" applyAlignment="1">
      <alignment horizontal="center" vertical="center" wrapText="1"/>
    </xf>
    <xf numFmtId="0" fontId="49" fillId="8" borderId="0" xfId="0" applyFont="1" applyFill="1" applyAlignment="1">
      <alignment horizontal="left" vertical="center" wrapText="1"/>
    </xf>
    <xf numFmtId="1" fontId="18" fillId="0" borderId="19" xfId="17" applyNumberFormat="1" applyFont="1" applyBorder="1" applyAlignment="1">
      <alignment horizontal="center" vertical="center" wrapText="1"/>
    </xf>
    <xf numFmtId="1" fontId="18" fillId="0" borderId="20" xfId="17" applyNumberFormat="1" applyFont="1" applyBorder="1" applyAlignment="1">
      <alignment horizontal="center" vertical="center" wrapText="1"/>
    </xf>
    <xf numFmtId="1" fontId="18" fillId="0" borderId="18" xfId="17" applyNumberFormat="1" applyFont="1" applyBorder="1" applyAlignment="1">
      <alignment horizontal="center" vertical="center" wrapText="1"/>
    </xf>
    <xf numFmtId="1" fontId="53" fillId="0" borderId="10" xfId="24" applyNumberFormat="1" applyFont="1" applyBorder="1" applyAlignment="1">
      <alignment horizontal="center" vertical="center"/>
    </xf>
    <xf numFmtId="0" fontId="17" fillId="8" borderId="70" xfId="20" applyFill="1" applyBorder="1" applyAlignment="1">
      <alignment vertical="center" wrapText="1"/>
    </xf>
    <xf numFmtId="0" fontId="17" fillId="8" borderId="70" xfId="20" applyFill="1" applyBorder="1" applyAlignment="1">
      <alignment vertical="center"/>
    </xf>
    <xf numFmtId="0" fontId="26" fillId="8" borderId="70" xfId="0" applyFont="1" applyFill="1" applyBorder="1" applyAlignment="1">
      <alignment horizontal="center" vertical="center" wrapText="1"/>
    </xf>
    <xf numFmtId="0" fontId="17" fillId="12" borderId="0" xfId="20" applyAlignment="1">
      <alignment vertical="top" wrapText="1"/>
    </xf>
    <xf numFmtId="0" fontId="17" fillId="12" borderId="0" xfId="20">
      <alignment vertical="top"/>
    </xf>
    <xf numFmtId="0" fontId="18" fillId="12" borderId="0" xfId="13" applyBorder="1">
      <alignment vertical="center" wrapText="1"/>
    </xf>
    <xf numFmtId="0" fontId="18" fillId="8" borderId="70" xfId="0" applyFont="1" applyFill="1" applyBorder="1" applyAlignment="1">
      <alignment horizontal="center" vertical="center" wrapText="1"/>
    </xf>
    <xf numFmtId="0" fontId="17" fillId="0" borderId="0" xfId="20" applyFill="1" applyBorder="1" applyAlignment="1">
      <alignment horizontal="right" vertical="top"/>
    </xf>
    <xf numFmtId="0" fontId="29" fillId="12" borderId="27" xfId="27" applyBorder="1" applyAlignment="1">
      <alignment horizontal="left" vertical="top" wrapText="1"/>
    </xf>
    <xf numFmtId="0" fontId="29" fillId="12" borderId="28" xfId="27" applyBorder="1" applyAlignment="1">
      <alignment horizontal="left" vertical="top" wrapText="1"/>
    </xf>
    <xf numFmtId="0" fontId="29" fillId="12" borderId="29" xfId="27" applyBorder="1" applyAlignment="1">
      <alignment horizontal="left" vertical="top" wrapText="1"/>
    </xf>
    <xf numFmtId="0" fontId="29" fillId="12" borderId="0" xfId="27" applyBorder="1" applyAlignment="1">
      <alignment horizontal="left" vertical="top" wrapText="1"/>
    </xf>
    <xf numFmtId="0" fontId="29" fillId="12" borderId="30" xfId="27" applyBorder="1" applyAlignment="1">
      <alignment horizontal="left" vertical="top" wrapText="1"/>
    </xf>
    <xf numFmtId="0" fontId="29" fillId="12" borderId="31" xfId="27" applyBorder="1" applyAlignment="1">
      <alignment horizontal="left" vertical="top" wrapText="1"/>
    </xf>
    <xf numFmtId="0" fontId="29" fillId="12" borderId="32" xfId="27" applyBorder="1" applyAlignment="1">
      <alignment horizontal="left" vertical="top" wrapText="1"/>
    </xf>
    <xf numFmtId="0" fontId="29" fillId="12" borderId="33" xfId="27" applyBorder="1" applyAlignment="1">
      <alignment horizontal="left" vertical="top" wrapText="1"/>
    </xf>
    <xf numFmtId="0" fontId="17" fillId="0" borderId="0" xfId="20" applyFill="1" applyBorder="1" applyAlignment="1">
      <alignment horizontal="right" vertical="top" wrapText="1"/>
    </xf>
    <xf numFmtId="0" fontId="17" fillId="0" borderId="0" xfId="20" applyFill="1" applyAlignment="1">
      <alignment horizontal="right" vertical="top"/>
    </xf>
    <xf numFmtId="0" fontId="17" fillId="0" borderId="0" xfId="20" applyFill="1" applyAlignment="1">
      <alignment horizontal="right" vertical="top" wrapText="1"/>
    </xf>
    <xf numFmtId="0" fontId="18" fillId="12" borderId="21" xfId="13" applyBorder="1">
      <alignment vertical="center" wrapText="1"/>
    </xf>
    <xf numFmtId="0" fontId="18" fillId="12" borderId="11" xfId="13" applyBorder="1">
      <alignment vertical="center" wrapText="1"/>
    </xf>
    <xf numFmtId="0" fontId="17" fillId="0" borderId="0" xfId="20" applyFill="1" applyBorder="1">
      <alignment vertical="top"/>
    </xf>
    <xf numFmtId="0" fontId="18" fillId="12" borderId="70" xfId="14" applyBorder="1">
      <alignment horizontal="left" vertical="center" wrapText="1"/>
    </xf>
    <xf numFmtId="0" fontId="17" fillId="0" borderId="0" xfId="20" applyFill="1" applyBorder="1" applyAlignment="1">
      <alignment vertical="top" wrapText="1"/>
    </xf>
    <xf numFmtId="0" fontId="3" fillId="0" borderId="0" xfId="0" applyFont="1" applyAlignment="1">
      <alignment horizontal="center"/>
    </xf>
    <xf numFmtId="0" fontId="0" fillId="0" borderId="0" xfId="0" applyFont="1" applyAlignment="1">
      <alignment horizontal="center"/>
    </xf>
    <xf numFmtId="0" fontId="9" fillId="0" borderId="0" xfId="23" applyBorder="1" applyAlignment="1">
      <alignment horizontal="center" vertical="center" wrapText="1"/>
    </xf>
    <xf numFmtId="0" fontId="17" fillId="0" borderId="0" xfId="20" applyFill="1" applyBorder="1" applyAlignment="1">
      <alignment horizontal="center" vertical="top"/>
    </xf>
    <xf numFmtId="0" fontId="18" fillId="0" borderId="0" xfId="20" applyFont="1" applyFill="1" applyBorder="1" applyAlignment="1">
      <alignment horizontal="center"/>
    </xf>
    <xf numFmtId="0" fontId="22" fillId="10" borderId="0" xfId="19" applyFont="1" applyAlignment="1">
      <alignment horizontal="center" vertical="center" wrapText="1"/>
    </xf>
    <xf numFmtId="0" fontId="18" fillId="0" borderId="70" xfId="15" applyBorder="1" applyAlignment="1">
      <alignment horizontal="left" vertical="center" wrapText="1"/>
    </xf>
    <xf numFmtId="0" fontId="22" fillId="10" borderId="26" xfId="19" applyBorder="1" applyAlignment="1">
      <alignment horizontal="center" vertical="center" wrapText="1"/>
    </xf>
    <xf numFmtId="0" fontId="22" fillId="10" borderId="27" xfId="19" applyBorder="1" applyAlignment="1">
      <alignment horizontal="center" vertical="center" wrapText="1"/>
    </xf>
    <xf numFmtId="0" fontId="22" fillId="10" borderId="28" xfId="19" applyBorder="1" applyAlignment="1">
      <alignment horizontal="center" vertical="center" wrapText="1"/>
    </xf>
    <xf numFmtId="0" fontId="29" fillId="0" borderId="39" xfId="0" applyFont="1" applyBorder="1" applyAlignment="1">
      <alignment horizontal="left" wrapText="1"/>
    </xf>
    <xf numFmtId="0" fontId="29" fillId="0" borderId="40" xfId="0" applyFont="1" applyBorder="1" applyAlignment="1">
      <alignment horizontal="left" wrapText="1"/>
    </xf>
    <xf numFmtId="0" fontId="29" fillId="0" borderId="41" xfId="0" applyFont="1" applyBorder="1" applyAlignment="1">
      <alignment horizontal="left" wrapText="1"/>
    </xf>
    <xf numFmtId="0" fontId="23" fillId="10" borderId="0" xfId="19" applyFont="1" applyAlignment="1">
      <alignment horizontal="center" vertical="center" wrapText="1"/>
    </xf>
    <xf numFmtId="0" fontId="29" fillId="0" borderId="31" xfId="19" applyFont="1" applyFill="1" applyBorder="1" applyAlignment="1">
      <alignment horizontal="left" vertical="top" wrapText="1"/>
    </xf>
    <xf numFmtId="0" fontId="29" fillId="0" borderId="32" xfId="19" applyFont="1" applyFill="1" applyBorder="1" applyAlignment="1">
      <alignment horizontal="left" vertical="top" wrapText="1"/>
    </xf>
    <xf numFmtId="0" fontId="29" fillId="0" borderId="33" xfId="19" applyFont="1" applyFill="1" applyBorder="1" applyAlignment="1">
      <alignment horizontal="left" vertical="top" wrapText="1"/>
    </xf>
    <xf numFmtId="0" fontId="3" fillId="10" borderId="68" xfId="0" applyFont="1" applyFill="1" applyBorder="1" applyAlignment="1">
      <alignment horizontal="center" vertical="center" wrapText="1"/>
    </xf>
    <xf numFmtId="0" fontId="3" fillId="10" borderId="69" xfId="0" applyFont="1" applyFill="1" applyBorder="1" applyAlignment="1">
      <alignment horizontal="center" vertical="center" wrapText="1"/>
    </xf>
    <xf numFmtId="0" fontId="22" fillId="10" borderId="0" xfId="19" applyAlignment="1">
      <alignment horizontal="left" vertical="center" wrapText="1"/>
    </xf>
    <xf numFmtId="0" fontId="17" fillId="12" borderId="0" xfId="10" applyBorder="1" applyAlignment="1" applyProtection="1">
      <alignment horizontal="center" vertical="top" wrapText="1"/>
    </xf>
    <xf numFmtId="0" fontId="17" fillId="12" borderId="0" xfId="10" applyBorder="1" applyProtection="1">
      <alignment horizontal="center" vertical="top" wrapText="1"/>
    </xf>
    <xf numFmtId="0" fontId="0" fillId="13" borderId="0" xfId="0" applyFont="1" applyFill="1" applyBorder="1" applyAlignment="1" applyProtection="1">
      <alignment horizontal="center"/>
    </xf>
    <xf numFmtId="0" fontId="0" fillId="13" borderId="0" xfId="0" applyFont="1" applyFill="1" applyBorder="1" applyAlignment="1" applyProtection="1">
      <alignment horizontal="center" vertical="center"/>
    </xf>
    <xf numFmtId="0" fontId="35" fillId="0" borderId="0" xfId="9" applyFont="1" applyBorder="1" applyAlignment="1" applyProtection="1">
      <alignment horizontal="left" wrapText="1"/>
    </xf>
    <xf numFmtId="0" fontId="0" fillId="13" borderId="22" xfId="0" applyFont="1" applyFill="1" applyBorder="1" applyAlignment="1" applyProtection="1">
      <alignment horizontal="center" vertical="center"/>
    </xf>
    <xf numFmtId="0" fontId="29" fillId="0" borderId="56" xfId="1" applyFont="1" applyBorder="1" applyAlignment="1" applyProtection="1">
      <alignment horizontal="left" vertical="center" wrapText="1"/>
    </xf>
    <xf numFmtId="0" fontId="29" fillId="0" borderId="57" xfId="1" applyFont="1" applyBorder="1" applyAlignment="1" applyProtection="1">
      <alignment horizontal="left" vertical="center" wrapText="1"/>
    </xf>
    <xf numFmtId="0" fontId="18" fillId="10" borderId="22" xfId="11" applyBorder="1" applyAlignment="1" applyProtection="1">
      <alignment horizontal="left" vertical="center" wrapText="1"/>
    </xf>
    <xf numFmtId="167" fontId="24" fillId="0" borderId="56" xfId="1" applyNumberFormat="1" applyBorder="1" applyAlignment="1" applyProtection="1">
      <alignment horizontal="center" vertical="center"/>
    </xf>
    <xf numFmtId="167" fontId="24" fillId="0" borderId="57" xfId="1" applyNumberFormat="1" applyBorder="1" applyAlignment="1" applyProtection="1">
      <alignment horizontal="center" vertical="center"/>
    </xf>
    <xf numFmtId="0" fontId="24" fillId="0" borderId="56" xfId="1" applyBorder="1" applyAlignment="1" applyProtection="1">
      <alignment horizontal="center" vertical="center" wrapText="1"/>
    </xf>
    <xf numFmtId="0" fontId="24" fillId="0" borderId="57" xfId="1" applyBorder="1" applyAlignment="1" applyProtection="1">
      <alignment horizontal="center" vertical="center" wrapText="1"/>
    </xf>
    <xf numFmtId="0" fontId="28" fillId="0" borderId="56" xfId="12" applyBorder="1" applyAlignment="1" applyProtection="1">
      <alignment horizontal="left" vertical="center" wrapText="1"/>
    </xf>
    <xf numFmtId="0" fontId="28" fillId="0" borderId="57" xfId="12" applyBorder="1" applyAlignment="1" applyProtection="1">
      <alignment horizontal="left" vertical="center" wrapText="1"/>
    </xf>
    <xf numFmtId="1" fontId="24" fillId="0" borderId="56" xfId="1" applyNumberFormat="1" applyBorder="1" applyAlignment="1" applyProtection="1">
      <alignment horizontal="center" vertical="center"/>
    </xf>
    <xf numFmtId="1" fontId="24" fillId="0" borderId="57" xfId="1" applyNumberFormat="1" applyBorder="1" applyAlignment="1" applyProtection="1">
      <alignment horizontal="center" vertical="center"/>
    </xf>
    <xf numFmtId="0" fontId="24" fillId="0" borderId="56" xfId="1" applyBorder="1" applyAlignment="1" applyProtection="1">
      <alignment horizontal="center" vertical="center"/>
    </xf>
    <xf numFmtId="0" fontId="24" fillId="0" borderId="57" xfId="1" applyBorder="1" applyAlignment="1" applyProtection="1">
      <alignment horizontal="center" vertical="center"/>
    </xf>
    <xf numFmtId="0" fontId="28" fillId="0" borderId="56" xfId="12" applyBorder="1" applyAlignment="1" applyProtection="1">
      <alignment horizontal="center" vertical="center" wrapText="1"/>
    </xf>
    <xf numFmtId="0" fontId="28" fillId="0" borderId="57" xfId="12" applyBorder="1" applyAlignment="1" applyProtection="1">
      <alignment horizontal="center" vertical="center" wrapText="1"/>
    </xf>
    <xf numFmtId="173" fontId="24" fillId="0" borderId="56" xfId="1" applyNumberFormat="1" applyBorder="1" applyAlignment="1" applyProtection="1">
      <alignment horizontal="center" vertical="center"/>
    </xf>
    <xf numFmtId="173" fontId="24" fillId="0" borderId="57" xfId="1" applyNumberFormat="1" applyBorder="1" applyAlignment="1" applyProtection="1">
      <alignment horizontal="center" vertical="center"/>
    </xf>
    <xf numFmtId="167" fontId="24" fillId="0" borderId="58" xfId="1" applyNumberFormat="1" applyBorder="1" applyAlignment="1" applyProtection="1">
      <alignment horizontal="left" vertical="center" wrapText="1"/>
    </xf>
    <xf numFmtId="167" fontId="24" fillId="0" borderId="59" xfId="1" applyNumberFormat="1" applyBorder="1" applyAlignment="1" applyProtection="1">
      <alignment horizontal="left" vertical="center"/>
    </xf>
    <xf numFmtId="167" fontId="24" fillId="0" borderId="38" xfId="1" applyNumberFormat="1" applyBorder="1" applyAlignment="1" applyProtection="1">
      <alignment horizontal="left" vertical="center"/>
    </xf>
    <xf numFmtId="174" fontId="24" fillId="0" borderId="56" xfId="1" applyNumberFormat="1" applyBorder="1" applyAlignment="1" applyProtection="1">
      <alignment horizontal="center" vertical="center"/>
    </xf>
    <xf numFmtId="174" fontId="24" fillId="0" borderId="57" xfId="1" applyNumberFormat="1" applyBorder="1" applyAlignment="1" applyProtection="1">
      <alignment horizontal="center" vertical="center"/>
    </xf>
    <xf numFmtId="0" fontId="28" fillId="0" borderId="0" xfId="12" applyBorder="1" applyAlignment="1" applyProtection="1">
      <alignment horizontal="center" vertical="center" wrapText="1"/>
    </xf>
    <xf numFmtId="0" fontId="28" fillId="0" borderId="34" xfId="12" applyBorder="1" applyAlignment="1" applyProtection="1">
      <alignment horizontal="center" vertical="center" wrapText="1"/>
    </xf>
    <xf numFmtId="0" fontId="28" fillId="0" borderId="37" xfId="12" applyBorder="1" applyAlignment="1" applyProtection="1">
      <alignment horizontal="center" vertical="center" wrapText="1"/>
    </xf>
    <xf numFmtId="0" fontId="28" fillId="0" borderId="22" xfId="12" applyBorder="1" applyAlignment="1" applyProtection="1">
      <alignment horizontal="center" vertical="center" wrapText="1"/>
    </xf>
    <xf numFmtId="168" fontId="24" fillId="0" borderId="56" xfId="1" applyNumberFormat="1" applyBorder="1" applyAlignment="1" applyProtection="1">
      <alignment horizontal="center" vertical="center"/>
    </xf>
    <xf numFmtId="168" fontId="24" fillId="0" borderId="57" xfId="1" applyNumberFormat="1" applyBorder="1" applyAlignment="1" applyProtection="1">
      <alignment horizontal="center" vertical="center"/>
    </xf>
    <xf numFmtId="167" fontId="24" fillId="0" borderId="36" xfId="1" applyNumberFormat="1" applyBorder="1" applyAlignment="1" applyProtection="1">
      <alignment horizontal="center" vertical="center" wrapText="1"/>
    </xf>
    <xf numFmtId="0" fontId="29" fillId="0" borderId="22" xfId="1" applyFont="1" applyBorder="1" applyAlignment="1" applyProtection="1">
      <alignment horizontal="left" vertical="center" wrapText="1"/>
    </xf>
    <xf numFmtId="0" fontId="29" fillId="0" borderId="35" xfId="1" applyFont="1" applyBorder="1" applyAlignment="1" applyProtection="1">
      <alignment horizontal="left" vertical="center" wrapText="1"/>
    </xf>
    <xf numFmtId="168" fontId="24" fillId="0" borderId="36" xfId="1" applyNumberFormat="1" applyBorder="1" applyAlignment="1" applyProtection="1">
      <alignment horizontal="center" vertical="center"/>
    </xf>
    <xf numFmtId="0" fontId="28" fillId="0" borderId="70" xfId="12" applyBorder="1" applyAlignment="1">
      <alignment vertical="center" wrapText="1"/>
    </xf>
    <xf numFmtId="2" fontId="26" fillId="0" borderId="70" xfId="21" applyNumberFormat="1" applyBorder="1" applyAlignment="1" applyProtection="1">
      <alignment horizontal="right" vertical="center" indent="3"/>
      <protection locked="0"/>
    </xf>
    <xf numFmtId="0" fontId="28" fillId="0" borderId="0" xfId="12" applyBorder="1" applyAlignment="1" applyProtection="1">
      <alignment horizontal="left" vertical="center" wrapText="1"/>
    </xf>
    <xf numFmtId="0" fontId="4" fillId="0" borderId="0" xfId="9" applyAlignment="1">
      <alignment vertical="center"/>
    </xf>
    <xf numFmtId="0" fontId="4" fillId="0" borderId="0" xfId="9" applyAlignment="1">
      <alignment horizontal="left" vertical="center"/>
    </xf>
    <xf numFmtId="0" fontId="28" fillId="0" borderId="10" xfId="12" applyBorder="1" applyAlignment="1" applyProtection="1">
      <alignment horizontal="left" vertical="center" wrapText="1"/>
    </xf>
    <xf numFmtId="0" fontId="4" fillId="0" borderId="0" xfId="9" applyAlignment="1">
      <alignment horizontal="left" vertical="center" wrapText="1"/>
    </xf>
    <xf numFmtId="0" fontId="4" fillId="0" borderId="36" xfId="9" applyBorder="1" applyAlignment="1" applyProtection="1">
      <alignment horizontal="left" wrapText="1"/>
    </xf>
    <xf numFmtId="0" fontId="28" fillId="0" borderId="37" xfId="12" applyBorder="1" applyAlignment="1" applyProtection="1">
      <alignment vertical="center" wrapText="1"/>
    </xf>
    <xf numFmtId="167" fontId="65" fillId="0" borderId="36" xfId="1" applyNumberFormat="1" applyFont="1" applyBorder="1" applyAlignment="1" applyProtection="1">
      <alignment horizontal="center" vertical="center"/>
    </xf>
    <xf numFmtId="176" fontId="24" fillId="0" borderId="36" xfId="1" applyNumberFormat="1" applyBorder="1" applyAlignment="1" applyProtection="1">
      <alignment horizontal="center" vertical="center"/>
    </xf>
    <xf numFmtId="165" fontId="24" fillId="0" borderId="56" xfId="1" applyNumberFormat="1" applyBorder="1" applyAlignment="1" applyProtection="1">
      <alignment horizontal="center" vertical="center"/>
    </xf>
    <xf numFmtId="165" fontId="24" fillId="0" borderId="57" xfId="1" applyNumberFormat="1" applyBorder="1" applyAlignment="1" applyProtection="1">
      <alignment horizontal="center" vertical="center"/>
    </xf>
    <xf numFmtId="0" fontId="29" fillId="0" borderId="39" xfId="0" applyFont="1" applyBorder="1" applyAlignment="1">
      <alignment horizontal="left" vertical="center" wrapText="1"/>
    </xf>
    <xf numFmtId="0" fontId="29" fillId="0" borderId="40" xfId="0" applyFont="1" applyBorder="1" applyAlignment="1">
      <alignment horizontal="left" vertical="center" wrapText="1"/>
    </xf>
    <xf numFmtId="0" fontId="29" fillId="0" borderId="41" xfId="0" applyFont="1" applyBorder="1" applyAlignment="1">
      <alignment horizontal="left" vertical="center" wrapText="1"/>
    </xf>
  </cellXfs>
  <cellStyles count="31">
    <cellStyle name="20 % - Accent1" xfId="14" builtinId="30" customBuiltin="1"/>
    <cellStyle name="20 % - Accent2" xfId="17" builtinId="34" customBuiltin="1"/>
    <cellStyle name="20 % - Accent3" xfId="1" builtinId="38" customBuiltin="1"/>
    <cellStyle name="20 % - Accent4" xfId="27" builtinId="42" customBuiltin="1"/>
    <cellStyle name="20 % - Accent6" xfId="24" builtinId="50" customBuiltin="1"/>
    <cellStyle name="40 % - Accent1" xfId="15" builtinId="31" customBuiltin="1"/>
    <cellStyle name="40 % - Accent2" xfId="18" builtinId="35" customBuiltin="1"/>
    <cellStyle name="40 % - Accent3" xfId="2" builtinId="39" customBuiltin="1"/>
    <cellStyle name="40 % - Accent4" xfId="3" builtinId="43" customBuiltin="1"/>
    <cellStyle name="40 % - Accent6" xfId="25" builtinId="51" customBuiltin="1"/>
    <cellStyle name="60 % - Accent1" xfId="16" builtinId="32" customBuiltin="1"/>
    <cellStyle name="60 % - Accent3" xfId="4" builtinId="40" customBuiltin="1"/>
    <cellStyle name="60 % - Accent4" xfId="5" builtinId="44" customBuiltin="1"/>
    <cellStyle name="60 % - Accent5" xfId="22" builtinId="48" customBuiltin="1"/>
    <cellStyle name="60 % - Accent6" xfId="26" builtinId="52" customBuiltin="1"/>
    <cellStyle name="Accent1" xfId="13" builtinId="29" customBuiltin="1"/>
    <cellStyle name="Accent3" xfId="6" builtinId="37" customBuiltin="1"/>
    <cellStyle name="Accent4" xfId="7" builtinId="41" customBuiltin="1"/>
    <cellStyle name="Accent5" xfId="8" builtinId="45" customBuiltin="1"/>
    <cellStyle name="Accent6" xfId="23" builtinId="49" customBuiltin="1"/>
    <cellStyle name="Lien hypertexte" xfId="9" builtinId="8"/>
    <cellStyle name="Milliers" xfId="29" builtinId="3"/>
    <cellStyle name="Monétaire" xfId="28" builtinId="4"/>
    <cellStyle name="Normal" xfId="0" builtinId="0"/>
    <cellStyle name="Normal 2" xfId="30" xr:uid="{C9503A30-1BBE-4871-8C44-A0E8E5A9F639}"/>
    <cellStyle name="Titre" xfId="19" builtinId="15" customBuiltin="1"/>
    <cellStyle name="Titre 1" xfId="20" builtinId="16" customBuiltin="1"/>
    <cellStyle name="Titre 2" xfId="10" builtinId="17" customBuiltin="1"/>
    <cellStyle name="Titre 3" xfId="11" builtinId="18" customBuiltin="1"/>
    <cellStyle name="Titre 4" xfId="12" builtinId="19" customBuiltin="1"/>
    <cellStyle name="Total" xfId="21" builtinId="25" customBuiltin="1"/>
  </cellStyles>
  <dxfs count="36">
    <dxf>
      <fill>
        <patternFill>
          <bgColor theme="9" tint="-0.24994659260841701"/>
        </patternFill>
      </fill>
      <border>
        <left style="thin">
          <color rgb="FF096377"/>
        </left>
        <right style="thin">
          <color rgb="FF096377"/>
        </right>
        <top style="thin">
          <color rgb="FF096377"/>
        </top>
        <bottom style="thin">
          <color rgb="FF096377"/>
        </bottom>
      </border>
    </dxf>
    <dxf>
      <fill>
        <patternFill>
          <bgColor rgb="FF00B050"/>
        </patternFill>
      </fill>
    </dxf>
    <dxf>
      <fill>
        <patternFill>
          <bgColor rgb="FFFF0000"/>
        </patternFill>
      </fill>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outline="0">
        <left style="medium">
          <color rgb="FFCCCCCC"/>
        </left>
        <right style="medium">
          <color rgb="FFCCCCCC"/>
        </right>
        <top style="medium">
          <color rgb="FFCCCCCC"/>
        </top>
        <bottom/>
      </border>
    </dxf>
    <dxf>
      <font>
        <b val="0"/>
        <i val="0"/>
        <strike val="0"/>
        <condense val="0"/>
        <extend val="0"/>
        <outline val="0"/>
        <shadow val="0"/>
        <u val="none"/>
        <vertAlign val="baseline"/>
        <sz val="8"/>
        <color auto="1"/>
        <name val="Arial"/>
        <scheme val="none"/>
      </font>
      <numFmt numFmtId="19" formatCode="dd/mm/yyyy"/>
      <alignment horizontal="center" vertical="center" textRotation="0" wrapText="1" indent="0" justifyLastLine="0" shrinkToFit="0" readingOrder="0"/>
      <border diagonalUp="0" diagonalDown="0" outline="0">
        <left/>
        <right/>
        <top style="medium">
          <color rgb="FFCCCCCC"/>
        </top>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right/>
        <top style="medium">
          <color rgb="FFCCCCCC"/>
        </top>
        <bottom/>
      </border>
    </dxf>
    <dxf>
      <border outline="0">
        <top style="medium">
          <color rgb="FFCCCCCC"/>
        </top>
      </border>
    </dxf>
    <dxf>
      <border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border outline="0">
        <bottom style="medium">
          <color rgb="FFCCCCCC"/>
        </bottom>
      </border>
    </dxf>
    <dxf>
      <font>
        <b/>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outline="0">
        <left style="medium">
          <color rgb="FFCCCCCC"/>
        </left>
        <right style="medium">
          <color rgb="FFCCCCCC"/>
        </right>
        <top/>
        <bottom/>
      </border>
    </dxf>
    <dxf>
      <font>
        <color rgb="FF096377"/>
      </font>
    </dxf>
    <dxf>
      <fill>
        <patternFill patternType="solid">
          <fgColor theme="9" tint="0.79998168889431442"/>
          <bgColor theme="9" tint="0.79998168889431442"/>
        </patternFill>
      </fill>
    </dxf>
    <dxf>
      <font>
        <color rgb="FF096377"/>
      </font>
    </dxf>
    <dxf>
      <font>
        <color rgb="FF096377"/>
      </font>
      <fill>
        <patternFill patternType="solid">
          <fgColor theme="9" tint="0.79995117038483843"/>
          <bgColor rgb="FFF5E9B1"/>
        </patternFill>
      </fill>
    </dxf>
    <dxf>
      <font>
        <b/>
        <color theme="1"/>
      </font>
    </dxf>
    <dxf>
      <font>
        <b/>
        <color theme="1"/>
      </font>
    </dxf>
    <dxf>
      <font>
        <b/>
        <color theme="1"/>
      </font>
      <border>
        <top style="double">
          <color theme="9"/>
        </top>
      </border>
    </dxf>
    <dxf>
      <font>
        <color rgb="FF096377"/>
      </font>
      <fill>
        <patternFill patternType="solid">
          <fgColor theme="9"/>
          <bgColor rgb="FFF39912"/>
        </patternFill>
      </fill>
    </dxf>
    <dxf>
      <font>
        <color theme="1"/>
      </font>
      <border>
        <left style="thin">
          <color theme="9" tint="0.39997558519241921"/>
        </left>
        <right style="thin">
          <color theme="9" tint="0.39997558519241921"/>
        </right>
        <top style="thin">
          <color theme="9" tint="0.39997558519241921"/>
        </top>
        <bottom style="thin">
          <color theme="9" tint="0.39997558519241921"/>
        </bottom>
        <horizontal style="thin">
          <color theme="9" tint="0.39997558519241921"/>
        </horizontal>
      </border>
    </dxf>
    <dxf>
      <fill>
        <patternFill>
          <fgColor rgb="FFF3E79B"/>
        </patternFill>
      </fill>
    </dxf>
    <dxf>
      <fill>
        <patternFill>
          <fgColor rgb="FFF3E79B"/>
        </patternFill>
      </fill>
    </dxf>
  </dxfs>
  <tableStyles count="3" defaultTableStyle="TableStyleMedium2" defaultPivotStyle="PivotStyleLight16">
    <tableStyle name="Table Style 1" pivot="0" count="1" xr9:uid="{00000000-0011-0000-FFFF-FFFF00000000}">
      <tableStyleElement type="firstRowStripe" dxfId="35"/>
    </tableStyle>
    <tableStyle name="Table Style 2" pivot="0" count="1" xr9:uid="{00000000-0011-0000-FFFF-FFFF01000000}">
      <tableStyleElement type="firstHeaderCell" dxfId="34"/>
    </tableStyle>
    <tableStyle name="TableStyleMedium7 2" pivot="0" count="9" xr9:uid="{00000000-0011-0000-FFFF-FFFF02000000}">
      <tableStyleElement type="wholeTable" dxfId="33"/>
      <tableStyleElement type="headerRow" dxfId="32"/>
      <tableStyleElement type="totalRow" dxfId="31"/>
      <tableStyleElement type="firstColumn" dxfId="30"/>
      <tableStyleElement type="lastColumn" dxfId="29"/>
      <tableStyleElement type="firstRowStripe" dxfId="28"/>
      <tableStyleElement type="secondRowStripe" dxfId="27"/>
      <tableStyleElement type="firstColumnStripe" dxfId="26"/>
      <tableStyleElement type="secondColumnStripe" dxfId="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4BD5E"/>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F81BD"/>
      <rgbColor rgb="004BACC6"/>
      <rgbColor rgb="00B3B300"/>
      <rgbColor rgb="00FFCC00"/>
      <rgbColor rgb="00FF9900"/>
      <rgbColor rgb="00FF6600"/>
      <rgbColor rgb="00666699"/>
      <rgbColor rgb="009BBB59"/>
      <rgbColor rgb="00003366"/>
      <rgbColor rgb="00339966"/>
      <rgbColor rgb="00003300"/>
      <rgbColor rgb="00333300"/>
      <rgbColor rgb="00993300"/>
      <rgbColor rgb="008064A2"/>
      <rgbColor rgb="00333399"/>
      <rgbColor rgb="003C3C3C"/>
    </indexedColors>
    <mruColors>
      <color rgb="FFF5E99B"/>
      <color rgb="FF096377"/>
      <color rgb="FFF39912"/>
      <color rgb="FFF5E9B1"/>
      <color rgb="FFF3E79B"/>
      <color rgb="FFF3E9B1"/>
      <color rgb="FFFCD7A6"/>
      <color rgb="FF003633"/>
      <color rgb="FFE68708"/>
      <color rgb="FFF79D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latin typeface="Tahoma" pitchFamily="34" charset="0"/>
                <a:ea typeface="Tahoma" pitchFamily="34" charset="0"/>
                <a:cs typeface="Tahoma" pitchFamily="34" charset="0"/>
              </a:rPr>
              <a:t>Emissions</a:t>
            </a:r>
            <a:r>
              <a:rPr lang="en-US" b="1" baseline="0">
                <a:latin typeface="Tahoma" pitchFamily="34" charset="0"/>
                <a:ea typeface="Tahoma" pitchFamily="34" charset="0"/>
                <a:cs typeface="Tahoma" pitchFamily="34" charset="0"/>
              </a:rPr>
              <a:t> annuelles transports (kgCO2e)</a:t>
            </a:r>
            <a:endParaRPr lang="en-US" b="1">
              <a:latin typeface="Tahoma" pitchFamily="34" charset="0"/>
              <a:ea typeface="Tahoma" pitchFamily="34" charset="0"/>
              <a:cs typeface="Tahoma" pitchFamily="34" charset="0"/>
            </a:endParaRPr>
          </a:p>
        </c:rich>
      </c:tx>
      <c:overlay val="0"/>
    </c:title>
    <c:autoTitleDeleted val="0"/>
    <c:plotArea>
      <c:layout>
        <c:manualLayout>
          <c:layoutTarget val="inner"/>
          <c:xMode val="edge"/>
          <c:yMode val="edge"/>
          <c:x val="9.8532494758910266E-2"/>
          <c:y val="0.12863070539419086"/>
          <c:w val="0.84486373165618756"/>
          <c:h val="0.37759336099585339"/>
        </c:manualLayout>
      </c:layout>
      <c:barChart>
        <c:barDir val="col"/>
        <c:grouping val="clustered"/>
        <c:varyColors val="0"/>
        <c:ser>
          <c:idx val="0"/>
          <c:order val="0"/>
          <c:tx>
            <c:strRef>
              <c:f>Résultats!$D$82</c:f>
              <c:strCache>
                <c:ptCount val="1"/>
                <c:pt idx="0">
                  <c:v>kg eq CO2</c:v>
                </c:pt>
              </c:strCache>
            </c:strRef>
          </c:tx>
          <c:spPr>
            <a:solidFill>
              <a:srgbClr val="F39912"/>
            </a:solidFill>
            <a:ln w="25400">
              <a:noFill/>
            </a:ln>
          </c:spPr>
          <c:invertIfNegative val="0"/>
          <c:cat>
            <c:strRef>
              <c:f>Résultats!$B$83:$B$90</c:f>
              <c:strCache>
                <c:ptCount val="8"/>
                <c:pt idx="0">
                  <c:v>Voiture ess/gazoil</c:v>
                </c:pt>
                <c:pt idx="1">
                  <c:v>Voiture gaz (GPL)</c:v>
                </c:pt>
                <c:pt idx="2">
                  <c:v>Voiture électrique</c:v>
                </c:pt>
                <c:pt idx="3">
                  <c:v>Moto/Scooter/Mobilette</c:v>
                </c:pt>
                <c:pt idx="4">
                  <c:v>Avion</c:v>
                </c:pt>
                <c:pt idx="5">
                  <c:v>Trains</c:v>
                </c:pt>
                <c:pt idx="6">
                  <c:v>Bus</c:v>
                </c:pt>
                <c:pt idx="7">
                  <c:v>Métro</c:v>
                </c:pt>
              </c:strCache>
            </c:strRef>
          </c:cat>
          <c:val>
            <c:numRef>
              <c:f>Résultats!$D$83:$D$90</c:f>
              <c:numCache>
                <c:formatCode>_-* #\ ##0\ _€_-;\-* #\ ##0\ _€_-;_-* "-"??\ _€_-;_-@_-</c:formatCode>
                <c:ptCount val="8"/>
                <c:pt idx="0">
                  <c:v>0</c:v>
                </c:pt>
                <c:pt idx="1">
                  <c:v>0</c:v>
                </c:pt>
                <c:pt idx="2">
                  <c:v>0</c:v>
                </c:pt>
                <c:pt idx="3">
                  <c:v>0</c:v>
                </c:pt>
                <c:pt idx="4">
                  <c:v>0</c:v>
                </c:pt>
                <c:pt idx="5">
                  <c:v>67.2</c:v>
                </c:pt>
                <c:pt idx="6">
                  <c:v>0</c:v>
                </c:pt>
                <c:pt idx="7">
                  <c:v>0</c:v>
                </c:pt>
              </c:numCache>
            </c:numRef>
          </c:val>
          <c:extLst>
            <c:ext xmlns:c16="http://schemas.microsoft.com/office/drawing/2014/chart" uri="{C3380CC4-5D6E-409C-BE32-E72D297353CC}">
              <c16:uniqueId val="{00000000-CB0B-4DB4-A5B2-406ACB1627AF}"/>
            </c:ext>
          </c:extLst>
        </c:ser>
        <c:dLbls>
          <c:showLegendKey val="0"/>
          <c:showVal val="0"/>
          <c:showCatName val="0"/>
          <c:showSerName val="0"/>
          <c:showPercent val="0"/>
          <c:showBubbleSize val="0"/>
        </c:dLbls>
        <c:gapWidth val="150"/>
        <c:axId val="-728876448"/>
        <c:axId val="-728876992"/>
      </c:barChart>
      <c:catAx>
        <c:axId val="-728876448"/>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fr-FR"/>
          </a:p>
        </c:txPr>
        <c:crossAx val="-728876992"/>
        <c:crossesAt val="0"/>
        <c:auto val="1"/>
        <c:lblAlgn val="ctr"/>
        <c:lblOffset val="100"/>
        <c:tickLblSkip val="1"/>
        <c:tickMarkSkip val="1"/>
        <c:noMultiLvlLbl val="0"/>
      </c:catAx>
      <c:valAx>
        <c:axId val="-728876992"/>
        <c:scaling>
          <c:orientation val="minMax"/>
        </c:scaling>
        <c:delete val="0"/>
        <c:axPos val="l"/>
        <c:majorGridlines>
          <c:spPr>
            <a:ln w="3175">
              <a:solidFill>
                <a:srgbClr val="808080"/>
              </a:solidFill>
              <a:prstDash val="solid"/>
            </a:ln>
          </c:spPr>
        </c:majorGridlines>
        <c:numFmt formatCode="_-* #\ ##0\ _€_-;\-* #\ ##0\ _€_-;_-* &quot;-&quot;??\ _€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728876448"/>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Résultats!$B$151</c:f>
              <c:strCache>
                <c:ptCount val="1"/>
                <c:pt idx="0">
                  <c:v>Matériel informatique &amp; électronique </c:v>
                </c:pt>
              </c:strCache>
            </c:strRef>
          </c:tx>
          <c:spPr>
            <a:solidFill>
              <a:schemeClr val="tx2">
                <a:lumMod val="20000"/>
                <a:lumOff val="80000"/>
              </a:schemeClr>
            </a:solidFill>
            <a:ln>
              <a:noFill/>
            </a:ln>
            <a:effectLst/>
          </c:spPr>
          <c:invertIfNegative val="0"/>
          <c:cat>
            <c:strLit>
              <c:ptCount val="1"/>
              <c:pt idx="0">
                <c:v>Biens et services</c:v>
              </c:pt>
            </c:strLit>
          </c:cat>
          <c:val>
            <c:numRef>
              <c:f>Résultats!$C$151:$D$151</c:f>
              <c:numCache>
                <c:formatCode>_(* #,##0.00_);_(* \(#,##0.00\);_(* "-"??_);_(@_)</c:formatCode>
                <c:ptCount val="1"/>
                <c:pt idx="0">
                  <c:v>0</c:v>
                </c:pt>
              </c:numCache>
            </c:numRef>
          </c:val>
          <c:extLst>
            <c:ext xmlns:c16="http://schemas.microsoft.com/office/drawing/2014/chart" uri="{C3380CC4-5D6E-409C-BE32-E72D297353CC}">
              <c16:uniqueId val="{00000000-97B3-45F2-87DD-31AC1CD78CFD}"/>
            </c:ext>
          </c:extLst>
        </c:ser>
        <c:ser>
          <c:idx val="1"/>
          <c:order val="1"/>
          <c:tx>
            <c:strRef>
              <c:f>Résultats!$B$152</c:f>
              <c:strCache>
                <c:ptCount val="1"/>
                <c:pt idx="0">
                  <c:v>Electroménager</c:v>
                </c:pt>
              </c:strCache>
            </c:strRef>
          </c:tx>
          <c:spPr>
            <a:solidFill>
              <a:schemeClr val="tx1">
                <a:lumMod val="65000"/>
                <a:lumOff val="35000"/>
              </a:schemeClr>
            </a:solidFill>
            <a:ln>
              <a:noFill/>
            </a:ln>
            <a:effectLst/>
          </c:spPr>
          <c:invertIfNegative val="0"/>
          <c:cat>
            <c:strLit>
              <c:ptCount val="1"/>
              <c:pt idx="0">
                <c:v>Biens et services</c:v>
              </c:pt>
            </c:strLit>
          </c:cat>
          <c:val>
            <c:numRef>
              <c:f>Résultats!$C$152:$D$152</c:f>
              <c:numCache>
                <c:formatCode>_(* #,##0.00_);_(* \(#,##0.00\);_(* "-"??_);_(@_)</c:formatCode>
                <c:ptCount val="1"/>
                <c:pt idx="0">
                  <c:v>0</c:v>
                </c:pt>
              </c:numCache>
            </c:numRef>
          </c:val>
          <c:extLst>
            <c:ext xmlns:c16="http://schemas.microsoft.com/office/drawing/2014/chart" uri="{C3380CC4-5D6E-409C-BE32-E72D297353CC}">
              <c16:uniqueId val="{00000001-97B3-45F2-87DD-31AC1CD78CFD}"/>
            </c:ext>
          </c:extLst>
        </c:ser>
        <c:ser>
          <c:idx val="2"/>
          <c:order val="2"/>
          <c:tx>
            <c:strRef>
              <c:f>Résultats!$B$153</c:f>
              <c:strCache>
                <c:ptCount val="1"/>
                <c:pt idx="0">
                  <c:v>Internet</c:v>
                </c:pt>
              </c:strCache>
            </c:strRef>
          </c:tx>
          <c:spPr>
            <a:solidFill>
              <a:schemeClr val="accent5"/>
            </a:solidFill>
            <a:ln>
              <a:noFill/>
            </a:ln>
            <a:effectLst/>
          </c:spPr>
          <c:invertIfNegative val="0"/>
          <c:cat>
            <c:strLit>
              <c:ptCount val="1"/>
              <c:pt idx="0">
                <c:v>Biens et services</c:v>
              </c:pt>
            </c:strLit>
          </c:cat>
          <c:val>
            <c:numRef>
              <c:f>Résultats!$C$153:$D$153</c:f>
              <c:numCache>
                <c:formatCode>_(* #,##0.00_);_(* \(#,##0.00\);_(* "-"??_);_(@_)</c:formatCode>
                <c:ptCount val="1"/>
                <c:pt idx="0">
                  <c:v>0</c:v>
                </c:pt>
              </c:numCache>
            </c:numRef>
          </c:val>
          <c:extLst>
            <c:ext xmlns:c16="http://schemas.microsoft.com/office/drawing/2014/chart" uri="{C3380CC4-5D6E-409C-BE32-E72D297353CC}">
              <c16:uniqueId val="{00000002-97B3-45F2-87DD-31AC1CD78CFD}"/>
            </c:ext>
          </c:extLst>
        </c:ser>
        <c:ser>
          <c:idx val="3"/>
          <c:order val="3"/>
          <c:tx>
            <c:strRef>
              <c:f>Résultats!$B$154</c:f>
              <c:strCache>
                <c:ptCount val="1"/>
                <c:pt idx="0">
                  <c:v>Textile</c:v>
                </c:pt>
              </c:strCache>
            </c:strRef>
          </c:tx>
          <c:spPr>
            <a:solidFill>
              <a:schemeClr val="accent2">
                <a:lumMod val="40000"/>
                <a:lumOff val="60000"/>
              </a:schemeClr>
            </a:solidFill>
            <a:ln>
              <a:noFill/>
            </a:ln>
            <a:effectLst/>
          </c:spPr>
          <c:invertIfNegative val="0"/>
          <c:cat>
            <c:strLit>
              <c:ptCount val="1"/>
              <c:pt idx="0">
                <c:v>Biens et services</c:v>
              </c:pt>
            </c:strLit>
          </c:cat>
          <c:val>
            <c:numRef>
              <c:f>Résultats!$C$154:$D$154</c:f>
              <c:numCache>
                <c:formatCode>_(* #,##0.00_);_(* \(#,##0.00\);_(* "-"??_);_(@_)</c:formatCode>
                <c:ptCount val="1"/>
                <c:pt idx="0">
                  <c:v>0</c:v>
                </c:pt>
              </c:numCache>
            </c:numRef>
          </c:val>
          <c:extLst>
            <c:ext xmlns:c16="http://schemas.microsoft.com/office/drawing/2014/chart" uri="{C3380CC4-5D6E-409C-BE32-E72D297353CC}">
              <c16:uniqueId val="{00000005-97B3-45F2-87DD-31AC1CD78CFD}"/>
            </c:ext>
          </c:extLst>
        </c:ser>
        <c:ser>
          <c:idx val="4"/>
          <c:order val="4"/>
          <c:tx>
            <c:strRef>
              <c:f>Résultats!$B$155</c:f>
              <c:strCache>
                <c:ptCount val="1"/>
                <c:pt idx="0">
                  <c:v>Véhicules possédés</c:v>
                </c:pt>
              </c:strCache>
            </c:strRef>
          </c:tx>
          <c:spPr>
            <a:solidFill>
              <a:schemeClr val="tx1"/>
            </a:solidFill>
            <a:ln>
              <a:noFill/>
            </a:ln>
            <a:effectLst/>
          </c:spPr>
          <c:invertIfNegative val="0"/>
          <c:cat>
            <c:strLit>
              <c:ptCount val="1"/>
              <c:pt idx="0">
                <c:v>Biens et services</c:v>
              </c:pt>
            </c:strLit>
          </c:cat>
          <c:val>
            <c:numRef>
              <c:f>Résultats!$C$155:$D$155</c:f>
              <c:numCache>
                <c:formatCode>_(* #,##0.00_);_(* \(#,##0.00\);_(* "-"??_);_(@_)</c:formatCode>
                <c:ptCount val="1"/>
                <c:pt idx="0">
                  <c:v>0</c:v>
                </c:pt>
              </c:numCache>
            </c:numRef>
          </c:val>
          <c:extLst>
            <c:ext xmlns:c16="http://schemas.microsoft.com/office/drawing/2014/chart" uri="{C3380CC4-5D6E-409C-BE32-E72D297353CC}">
              <c16:uniqueId val="{00000003-97B3-45F2-87DD-31AC1CD78CFD}"/>
            </c:ext>
          </c:extLst>
        </c:ser>
        <c:ser>
          <c:idx val="5"/>
          <c:order val="5"/>
          <c:tx>
            <c:strRef>
              <c:f>Résultats!$B$156</c:f>
              <c:strCache>
                <c:ptCount val="1"/>
                <c:pt idx="0">
                  <c:v>Autres produits manufacturés </c:v>
                </c:pt>
              </c:strCache>
            </c:strRef>
          </c:tx>
          <c:spPr>
            <a:solidFill>
              <a:schemeClr val="accent6"/>
            </a:solidFill>
            <a:ln>
              <a:noFill/>
            </a:ln>
            <a:effectLst/>
          </c:spPr>
          <c:invertIfNegative val="0"/>
          <c:cat>
            <c:strLit>
              <c:ptCount val="1"/>
              <c:pt idx="0">
                <c:v>Biens et services</c:v>
              </c:pt>
            </c:strLit>
          </c:cat>
          <c:val>
            <c:numRef>
              <c:f>Résultats!$C$156:$D$156</c:f>
              <c:numCache>
                <c:formatCode>_(* #,##0.00_);_(* \(#,##0.00\);_(* "-"??_);_(@_)</c:formatCode>
                <c:ptCount val="1"/>
                <c:pt idx="0">
                  <c:v>0</c:v>
                </c:pt>
              </c:numCache>
            </c:numRef>
          </c:val>
          <c:extLst>
            <c:ext xmlns:c16="http://schemas.microsoft.com/office/drawing/2014/chart" uri="{C3380CC4-5D6E-409C-BE32-E72D297353CC}">
              <c16:uniqueId val="{00000006-97B3-45F2-87DD-31AC1CD78CFD}"/>
            </c:ext>
          </c:extLst>
        </c:ser>
        <c:dLbls>
          <c:showLegendKey val="0"/>
          <c:showVal val="0"/>
          <c:showCatName val="0"/>
          <c:showSerName val="0"/>
          <c:showPercent val="0"/>
          <c:showBubbleSize val="0"/>
        </c:dLbls>
        <c:gapWidth val="150"/>
        <c:overlap val="100"/>
        <c:axId val="409721616"/>
        <c:axId val="409722272"/>
        <c:extLst/>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layout>
        <c:manualLayout>
          <c:xMode val="edge"/>
          <c:yMode val="edge"/>
          <c:x val="0.68472446388484365"/>
          <c:y val="0.2536550382069972"/>
          <c:w val="0.29858354669288317"/>
          <c:h val="0.741252093486217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Résultats!$B$176</c:f>
              <c:strCache>
                <c:ptCount val="1"/>
                <c:pt idx="0">
                  <c:v>Banques/actifs classiques</c:v>
                </c:pt>
              </c:strCache>
            </c:strRef>
          </c:tx>
          <c:spPr>
            <a:solidFill>
              <a:schemeClr val="tx1"/>
            </a:solidFill>
            <a:ln>
              <a:noFill/>
            </a:ln>
            <a:effectLst/>
          </c:spPr>
          <c:invertIfNegative val="0"/>
          <c:cat>
            <c:strLit>
              <c:ptCount val="1"/>
              <c:pt idx="0">
                <c:v>Finances</c:v>
              </c:pt>
            </c:strLit>
          </c:cat>
          <c:val>
            <c:numRef>
              <c:f>Résultats!$C$176:$D$176</c:f>
              <c:numCache>
                <c:formatCode>0</c:formatCode>
                <c:ptCount val="1"/>
                <c:pt idx="0">
                  <c:v>0</c:v>
                </c:pt>
              </c:numCache>
            </c:numRef>
          </c:val>
          <c:extLst>
            <c:ext xmlns:c16="http://schemas.microsoft.com/office/drawing/2014/chart" uri="{C3380CC4-5D6E-409C-BE32-E72D297353CC}">
              <c16:uniqueId val="{00000000-A929-437A-BB5A-266AF597554A}"/>
            </c:ext>
          </c:extLst>
        </c:ser>
        <c:ser>
          <c:idx val="1"/>
          <c:order val="1"/>
          <c:tx>
            <c:strRef>
              <c:f>Résultats!$B$177</c:f>
              <c:strCache>
                <c:ptCount val="1"/>
                <c:pt idx="0">
                  <c:v>Banques/actifs "responsables"</c:v>
                </c:pt>
              </c:strCache>
            </c:strRef>
          </c:tx>
          <c:spPr>
            <a:solidFill>
              <a:schemeClr val="accent4"/>
            </a:solidFill>
            <a:ln>
              <a:noFill/>
            </a:ln>
            <a:effectLst/>
          </c:spPr>
          <c:invertIfNegative val="0"/>
          <c:cat>
            <c:strLit>
              <c:ptCount val="1"/>
              <c:pt idx="0">
                <c:v>Finances</c:v>
              </c:pt>
            </c:strLit>
          </c:cat>
          <c:val>
            <c:numRef>
              <c:f>Résultats!$C$177:$D$177</c:f>
              <c:numCache>
                <c:formatCode>0</c:formatCode>
                <c:ptCount val="1"/>
                <c:pt idx="0">
                  <c:v>0</c:v>
                </c:pt>
              </c:numCache>
            </c:numRef>
          </c:val>
          <c:extLst>
            <c:ext xmlns:c16="http://schemas.microsoft.com/office/drawing/2014/chart" uri="{C3380CC4-5D6E-409C-BE32-E72D297353CC}">
              <c16:uniqueId val="{00000001-A929-437A-BB5A-266AF597554A}"/>
            </c:ext>
          </c:extLst>
        </c:ser>
        <c:dLbls>
          <c:showLegendKey val="0"/>
          <c:showVal val="0"/>
          <c:showCatName val="0"/>
          <c:showSerName val="0"/>
          <c:showPercent val="0"/>
          <c:showBubbleSize val="0"/>
        </c:dLbls>
        <c:gapWidth val="150"/>
        <c:overlap val="100"/>
        <c:axId val="409721616"/>
        <c:axId val="409722272"/>
        <c:extLst/>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Résultats!$B$183</c:f>
              <c:strCache>
                <c:ptCount val="1"/>
                <c:pt idx="0">
                  <c:v>Total services publics</c:v>
                </c:pt>
              </c:strCache>
            </c:strRef>
          </c:tx>
          <c:spPr>
            <a:solidFill>
              <a:schemeClr val="accent4"/>
            </a:solidFill>
            <a:ln>
              <a:noFill/>
            </a:ln>
            <a:effectLst/>
          </c:spPr>
          <c:invertIfNegative val="0"/>
          <c:cat>
            <c:strLit>
              <c:ptCount val="1"/>
              <c:pt idx="0">
                <c:v>Services publics</c:v>
              </c:pt>
            </c:strLit>
          </c:cat>
          <c:val>
            <c:numRef>
              <c:f>Résultats!$C$183:$D$183</c:f>
              <c:numCache>
                <c:formatCode>0</c:formatCode>
                <c:ptCount val="1"/>
                <c:pt idx="0">
                  <c:v>1300</c:v>
                </c:pt>
              </c:numCache>
            </c:numRef>
          </c:val>
          <c:extLst>
            <c:ext xmlns:c16="http://schemas.microsoft.com/office/drawing/2014/chart" uri="{C3380CC4-5D6E-409C-BE32-E72D297353CC}">
              <c16:uniqueId val="{00000000-B294-478B-8602-C2F9A02425C1}"/>
            </c:ext>
          </c:extLst>
        </c:ser>
        <c:dLbls>
          <c:showLegendKey val="0"/>
          <c:showVal val="0"/>
          <c:showCatName val="0"/>
          <c:showSerName val="0"/>
          <c:showPercent val="0"/>
          <c:showBubbleSize val="0"/>
        </c:dLbls>
        <c:gapWidth val="150"/>
        <c:overlap val="100"/>
        <c:axId val="409721616"/>
        <c:axId val="409722272"/>
        <c:extLst/>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l'énergie (en €/an)</a:t>
            </a:r>
          </a:p>
        </c:rich>
      </c:tx>
      <c:layout>
        <c:manualLayout>
          <c:xMode val="edge"/>
          <c:yMode val="edge"/>
          <c:x val="0.24947627700383604"/>
          <c:y val="2.4911052785068596E-2"/>
        </c:manualLayout>
      </c:layout>
      <c:overlay val="0"/>
      <c:spPr>
        <a:noFill/>
        <a:ln w="25400">
          <a:noFill/>
        </a:ln>
      </c:spPr>
    </c:title>
    <c:autoTitleDeleted val="0"/>
    <c:plotArea>
      <c:layout>
        <c:manualLayout>
          <c:layoutTarget val="inner"/>
          <c:xMode val="edge"/>
          <c:yMode val="edge"/>
          <c:x val="0.22604441752473331"/>
          <c:y val="0.20068534580385575"/>
          <c:w val="0.65865313951141102"/>
          <c:h val="0.76778198927181118"/>
        </c:manualLayout>
      </c:layout>
      <c:barChart>
        <c:barDir val="col"/>
        <c:grouping val="stacked"/>
        <c:varyColors val="0"/>
        <c:ser>
          <c:idx val="0"/>
          <c:order val="0"/>
          <c:tx>
            <c:strRef>
              <c:f>'Simulation prix carbone'!$B$29</c:f>
              <c:strCache>
                <c:ptCount val="1"/>
                <c:pt idx="0">
                  <c:v>Construction</c:v>
                </c:pt>
              </c:strCache>
            </c:strRef>
          </c:tx>
          <c:spPr>
            <a:solidFill>
              <a:srgbClr val="F39912"/>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carbone'!$D$29</c:f>
              <c:numCache>
                <c:formatCode>_-* #\ ##0\ _€_-;\-* #\ ##0\ _€_-;_-* "-"??\ _€_-;_-@_-</c:formatCode>
                <c:ptCount val="1"/>
                <c:pt idx="0">
                  <c:v>0</c:v>
                </c:pt>
              </c:numCache>
            </c:numRef>
          </c:val>
          <c:extLst>
            <c:ext xmlns:c16="http://schemas.microsoft.com/office/drawing/2014/chart" uri="{C3380CC4-5D6E-409C-BE32-E72D297353CC}">
              <c16:uniqueId val="{00000000-12EA-4E34-AED9-7A1D990EFA15}"/>
            </c:ext>
          </c:extLst>
        </c:ser>
        <c:ser>
          <c:idx val="1"/>
          <c:order val="1"/>
          <c:tx>
            <c:strRef>
              <c:f>'Simulation prix carbone'!$B$30</c:f>
              <c:strCache>
                <c:ptCount val="1"/>
                <c:pt idx="0">
                  <c:v>Électricité</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carbone'!$D$30</c:f>
              <c:numCache>
                <c:formatCode>_-* #\ ##0\ _€_-;\-* #\ ##0\ _€_-;_-* "-"??\ _€_-;_-@_-</c:formatCode>
                <c:ptCount val="1"/>
                <c:pt idx="0">
                  <c:v>0</c:v>
                </c:pt>
              </c:numCache>
            </c:numRef>
          </c:val>
          <c:extLst>
            <c:ext xmlns:c16="http://schemas.microsoft.com/office/drawing/2014/chart" uri="{C3380CC4-5D6E-409C-BE32-E72D297353CC}">
              <c16:uniqueId val="{00000000-62E6-4953-82AD-E9EA277E0890}"/>
            </c:ext>
          </c:extLst>
        </c:ser>
        <c:ser>
          <c:idx val="2"/>
          <c:order val="2"/>
          <c:tx>
            <c:strRef>
              <c:f>'Simulation prix carbone'!$B$31</c:f>
              <c:strCache>
                <c:ptCount val="1"/>
                <c:pt idx="0">
                  <c:v>Gaz </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carbone'!$D$31</c:f>
              <c:numCache>
                <c:formatCode>_-* #\ ##0\ _€_-;\-* #\ ##0\ _€_-;_-* "-"??\ _€_-;_-@_-</c:formatCode>
                <c:ptCount val="1"/>
                <c:pt idx="0">
                  <c:v>0</c:v>
                </c:pt>
              </c:numCache>
            </c:numRef>
          </c:val>
          <c:extLst>
            <c:ext xmlns:c16="http://schemas.microsoft.com/office/drawing/2014/chart" uri="{C3380CC4-5D6E-409C-BE32-E72D297353CC}">
              <c16:uniqueId val="{00000001-62E6-4953-82AD-E9EA277E0890}"/>
            </c:ext>
          </c:extLst>
        </c:ser>
        <c:ser>
          <c:idx val="3"/>
          <c:order val="3"/>
          <c:tx>
            <c:strRef>
              <c:f>'Simulation prix carbone'!$B$32</c:f>
              <c:strCache>
                <c:ptCount val="1"/>
                <c:pt idx="0">
                  <c:v>Fioul</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carbone'!$D$32</c:f>
              <c:numCache>
                <c:formatCode>_-* #\ ##0\ _€_-;\-* #\ ##0\ _€_-;_-* "-"??\ _€_-;_-@_-</c:formatCode>
                <c:ptCount val="1"/>
                <c:pt idx="0">
                  <c:v>0</c:v>
                </c:pt>
              </c:numCache>
            </c:numRef>
          </c:val>
          <c:extLst>
            <c:ext xmlns:c16="http://schemas.microsoft.com/office/drawing/2014/chart" uri="{C3380CC4-5D6E-409C-BE32-E72D297353CC}">
              <c16:uniqueId val="{00000002-62E6-4953-82AD-E9EA277E0890}"/>
            </c:ext>
          </c:extLst>
        </c:ser>
        <c:ser>
          <c:idx val="4"/>
          <c:order val="4"/>
          <c:tx>
            <c:strRef>
              <c:f>'Simulation prix carbone'!$B$33</c:f>
              <c:strCache>
                <c:ptCount val="1"/>
                <c:pt idx="0">
                  <c:v>Propane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carbone'!$D$33</c:f>
              <c:numCache>
                <c:formatCode>_-* #\ ##0\ _€_-;\-* #\ ##0\ _€_-;_-* "-"??\ _€_-;_-@_-</c:formatCode>
                <c:ptCount val="1"/>
                <c:pt idx="0">
                  <c:v>0</c:v>
                </c:pt>
              </c:numCache>
            </c:numRef>
          </c:val>
          <c:extLst>
            <c:ext xmlns:c16="http://schemas.microsoft.com/office/drawing/2014/chart" uri="{C3380CC4-5D6E-409C-BE32-E72D297353CC}">
              <c16:uniqueId val="{00000003-62E6-4953-82AD-E9EA277E0890}"/>
            </c:ext>
          </c:extLst>
        </c:ser>
        <c:ser>
          <c:idx val="5"/>
          <c:order val="5"/>
          <c:tx>
            <c:strRef>
              <c:f>'Simulation prix carbone'!$B$34</c:f>
              <c:strCache>
                <c:ptCount val="1"/>
                <c:pt idx="0">
                  <c:v>Bois </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carbone'!$D$34</c:f>
              <c:numCache>
                <c:formatCode>_-* #\ ##0\ _€_-;\-* #\ ##0\ _€_-;_-* "-"??\ _€_-;_-@_-</c:formatCode>
                <c:ptCount val="1"/>
                <c:pt idx="0">
                  <c:v>0</c:v>
                </c:pt>
              </c:numCache>
            </c:numRef>
          </c:val>
          <c:extLst>
            <c:ext xmlns:c16="http://schemas.microsoft.com/office/drawing/2014/chart" uri="{C3380CC4-5D6E-409C-BE32-E72D297353CC}">
              <c16:uniqueId val="{00000004-62E6-4953-82AD-E9EA277E0890}"/>
            </c:ext>
          </c:extLst>
        </c:ser>
        <c:dLbls>
          <c:dLblPos val="ctr"/>
          <c:showLegendKey val="0"/>
          <c:showVal val="1"/>
          <c:showCatName val="0"/>
          <c:showSerName val="0"/>
          <c:showPercent val="0"/>
          <c:showBubbleSize val="0"/>
        </c:dLbls>
        <c:gapWidth val="150"/>
        <c:overlap val="100"/>
        <c:axId val="-685795376"/>
        <c:axId val="-685789936"/>
      </c:barChart>
      <c:catAx>
        <c:axId val="-685795376"/>
        <c:scaling>
          <c:orientation val="minMax"/>
        </c:scaling>
        <c:delete val="1"/>
        <c:axPos val="b"/>
        <c:numFmt formatCode="General" sourceLinked="1"/>
        <c:majorTickMark val="out"/>
        <c:minorTickMark val="none"/>
        <c:tickLblPos val="nextTo"/>
        <c:crossAx val="-685789936"/>
        <c:crossesAt val="0"/>
        <c:auto val="1"/>
        <c:lblAlgn val="ctr"/>
        <c:lblOffset val="100"/>
        <c:noMultiLvlLbl val="0"/>
      </c:catAx>
      <c:valAx>
        <c:axId val="-685789936"/>
        <c:scaling>
          <c:orientation val="minMax"/>
        </c:scaling>
        <c:delete val="0"/>
        <c:axPos val="l"/>
        <c:majorGridlines>
          <c:spPr>
            <a:ln w="3175">
              <a:solidFill>
                <a:srgbClr val="808080"/>
              </a:solidFill>
              <a:prstDash val="solid"/>
            </a:ln>
          </c:spPr>
        </c:majorGridlines>
        <c:numFmt formatCode="_-* #\ ##0\ _€_-;\-* #\ ##0\ _€_-;_-* &quot;-&quot;??\ _€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685795376"/>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la nourriture (en €/an)</a:t>
            </a:r>
          </a:p>
        </c:rich>
      </c:tx>
      <c:layout>
        <c:manualLayout>
          <c:xMode val="edge"/>
          <c:yMode val="edge"/>
          <c:x val="0.21013412399826575"/>
          <c:y val="2.4193502758263052E-2"/>
        </c:manualLayout>
      </c:layout>
      <c:overlay val="0"/>
      <c:spPr>
        <a:noFill/>
        <a:ln w="25400">
          <a:noFill/>
        </a:ln>
      </c:spPr>
    </c:title>
    <c:autoTitleDeleted val="0"/>
    <c:plotArea>
      <c:layout>
        <c:manualLayout>
          <c:layoutTarget val="inner"/>
          <c:xMode val="edge"/>
          <c:yMode val="edge"/>
          <c:x val="0.25256355388968932"/>
          <c:y val="7.8904919698089729E-2"/>
          <c:w val="0.68193265362256061"/>
          <c:h val="0.89405407069344367"/>
        </c:manualLayout>
      </c:layout>
      <c:barChart>
        <c:barDir val="col"/>
        <c:grouping val="stacked"/>
        <c:varyColors val="0"/>
        <c:ser>
          <c:idx val="0"/>
          <c:order val="0"/>
          <c:tx>
            <c:strRef>
              <c:f>'Simulation prix carbone'!$F$65</c:f>
              <c:strCache>
                <c:ptCount val="1"/>
                <c:pt idx="0">
                  <c:v>Total viandes et poissons</c:v>
                </c:pt>
              </c:strCache>
            </c:strRef>
          </c:tx>
          <c:spPr>
            <a:solidFill>
              <a:srgbClr val="C0504D"/>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carbone'!$G$65</c:f>
              <c:numCache>
                <c:formatCode>0</c:formatCode>
                <c:ptCount val="1"/>
                <c:pt idx="0">
                  <c:v>0</c:v>
                </c:pt>
              </c:numCache>
            </c:numRef>
          </c:val>
          <c:extLst>
            <c:ext xmlns:c16="http://schemas.microsoft.com/office/drawing/2014/chart" uri="{C3380CC4-5D6E-409C-BE32-E72D297353CC}">
              <c16:uniqueId val="{00000000-2DF2-4E05-8C47-C455B83D70FC}"/>
            </c:ext>
          </c:extLst>
        </c:ser>
        <c:ser>
          <c:idx val="1"/>
          <c:order val="1"/>
          <c:tx>
            <c:strRef>
              <c:f>'Simulation prix carbone'!$F$66</c:f>
              <c:strCache>
                <c:ptCount val="1"/>
                <c:pt idx="0">
                  <c:v>Total laitages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carbone'!$G$66</c:f>
              <c:numCache>
                <c:formatCode>0</c:formatCode>
                <c:ptCount val="1"/>
                <c:pt idx="0">
                  <c:v>#N/A</c:v>
                </c:pt>
              </c:numCache>
            </c:numRef>
          </c:val>
          <c:extLst>
            <c:ext xmlns:c16="http://schemas.microsoft.com/office/drawing/2014/chart" uri="{C3380CC4-5D6E-409C-BE32-E72D297353CC}">
              <c16:uniqueId val="{00000000-0F20-4317-BF4B-6904F5B58A09}"/>
            </c:ext>
          </c:extLst>
        </c:ser>
        <c:ser>
          <c:idx val="2"/>
          <c:order val="2"/>
          <c:tx>
            <c:strRef>
              <c:f>'Simulation prix carbone'!$F$67</c:f>
              <c:strCache>
                <c:ptCount val="1"/>
                <c:pt idx="0">
                  <c:v>Total fruits et légumes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carbone'!$G$67</c:f>
              <c:numCache>
                <c:formatCode>0</c:formatCode>
                <c:ptCount val="1"/>
                <c:pt idx="0">
                  <c:v>0</c:v>
                </c:pt>
              </c:numCache>
            </c:numRef>
          </c:val>
          <c:extLst>
            <c:ext xmlns:c16="http://schemas.microsoft.com/office/drawing/2014/chart" uri="{C3380CC4-5D6E-409C-BE32-E72D297353CC}">
              <c16:uniqueId val="{00000001-0F20-4317-BF4B-6904F5B58A09}"/>
            </c:ext>
          </c:extLst>
        </c:ser>
        <c:ser>
          <c:idx val="3"/>
          <c:order val="3"/>
          <c:tx>
            <c:strRef>
              <c:f>'Simulation prix carbone'!$F$68</c:f>
              <c:strCache>
                <c:ptCount val="1"/>
                <c:pt idx="0">
                  <c:v>Total plats cuisinés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'Simulation prix carbone'!$G$68</c:f>
              <c:numCache>
                <c:formatCode>0</c:formatCode>
                <c:ptCount val="1"/>
                <c:pt idx="0">
                  <c:v>0</c:v>
                </c:pt>
              </c:numCache>
            </c:numRef>
          </c:val>
          <c:extLst>
            <c:ext xmlns:c16="http://schemas.microsoft.com/office/drawing/2014/chart" uri="{C3380CC4-5D6E-409C-BE32-E72D297353CC}">
              <c16:uniqueId val="{00000002-0F20-4317-BF4B-6904F5B58A09}"/>
            </c:ext>
          </c:extLst>
        </c:ser>
        <c:ser>
          <c:idx val="4"/>
          <c:order val="4"/>
          <c:tx>
            <c:strRef>
              <c:f>'Simulation prix carbone'!$F$69</c:f>
              <c:strCache>
                <c:ptCount val="1"/>
                <c:pt idx="0">
                  <c:v>Total pain, pâtes, riz</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carbone'!$G$69</c:f>
              <c:numCache>
                <c:formatCode>0</c:formatCode>
                <c:ptCount val="1"/>
                <c:pt idx="0">
                  <c:v>0</c:v>
                </c:pt>
              </c:numCache>
            </c:numRef>
          </c:val>
          <c:extLst>
            <c:ext xmlns:c16="http://schemas.microsoft.com/office/drawing/2014/chart" uri="{C3380CC4-5D6E-409C-BE32-E72D297353CC}">
              <c16:uniqueId val="{00000003-0F20-4317-BF4B-6904F5B58A09}"/>
            </c:ext>
          </c:extLst>
        </c:ser>
        <c:ser>
          <c:idx val="5"/>
          <c:order val="5"/>
          <c:tx>
            <c:strRef>
              <c:f>'Simulation prix carbone'!$F$70</c:f>
              <c:strCache>
                <c:ptCount val="1"/>
                <c:pt idx="0">
                  <c:v>Total boissons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carbone'!$G$70</c:f>
              <c:numCache>
                <c:formatCode>0</c:formatCode>
                <c:ptCount val="1"/>
                <c:pt idx="0">
                  <c:v>0</c:v>
                </c:pt>
              </c:numCache>
            </c:numRef>
          </c:val>
          <c:extLst>
            <c:ext xmlns:c16="http://schemas.microsoft.com/office/drawing/2014/chart" uri="{C3380CC4-5D6E-409C-BE32-E72D297353CC}">
              <c16:uniqueId val="{00000004-0F20-4317-BF4B-6904F5B58A09}"/>
            </c:ext>
          </c:extLst>
        </c:ser>
        <c:dLbls>
          <c:dLblPos val="ctr"/>
          <c:showLegendKey val="0"/>
          <c:showVal val="1"/>
          <c:showCatName val="0"/>
          <c:showSerName val="0"/>
          <c:showPercent val="0"/>
          <c:showBubbleSize val="0"/>
        </c:dLbls>
        <c:gapWidth val="150"/>
        <c:overlap val="100"/>
        <c:axId val="-891256160"/>
        <c:axId val="-891253984"/>
      </c:barChart>
      <c:catAx>
        <c:axId val="-891256160"/>
        <c:scaling>
          <c:orientation val="minMax"/>
        </c:scaling>
        <c:delete val="1"/>
        <c:axPos val="b"/>
        <c:numFmt formatCode="General" sourceLinked="1"/>
        <c:majorTickMark val="out"/>
        <c:minorTickMark val="none"/>
        <c:tickLblPos val="nextTo"/>
        <c:crossAx val="-891253984"/>
        <c:crossesAt val="0"/>
        <c:auto val="1"/>
        <c:lblAlgn val="ctr"/>
        <c:lblOffset val="100"/>
        <c:noMultiLvlLbl val="0"/>
      </c:catAx>
      <c:valAx>
        <c:axId val="-89125398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891256160"/>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de la consommation (en €/an)</a:t>
            </a:r>
          </a:p>
        </c:rich>
      </c:tx>
      <c:layout>
        <c:manualLayout>
          <c:xMode val="edge"/>
          <c:yMode val="edge"/>
          <c:x val="0.21130981403125323"/>
          <c:y val="2.8571383122564388E-2"/>
        </c:manualLayout>
      </c:layout>
      <c:overlay val="0"/>
      <c:spPr>
        <a:noFill/>
        <a:ln w="25400">
          <a:noFill/>
        </a:ln>
      </c:spPr>
    </c:title>
    <c:autoTitleDeleted val="0"/>
    <c:plotArea>
      <c:layout>
        <c:manualLayout>
          <c:layoutTarget val="inner"/>
          <c:xMode val="edge"/>
          <c:yMode val="edge"/>
          <c:x val="0.34186237909072764"/>
          <c:y val="0.13498567323512328"/>
          <c:w val="0.61377471871960065"/>
          <c:h val="0.82784462414135784"/>
        </c:manualLayout>
      </c:layout>
      <c:barChart>
        <c:barDir val="col"/>
        <c:grouping val="stacked"/>
        <c:varyColors val="0"/>
        <c:ser>
          <c:idx val="0"/>
          <c:order val="0"/>
          <c:tx>
            <c:strRef>
              <c:f>'Simulation prix carbone'!$B$90</c:f>
              <c:strCache>
                <c:ptCount val="1"/>
                <c:pt idx="0">
                  <c:v>Matériel informatique &amp; électronique </c:v>
                </c:pt>
              </c:strCache>
            </c:strRef>
          </c:tx>
          <c:spPr>
            <a:solidFill>
              <a:srgbClr val="F39912"/>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carbone'!$D$90</c:f>
              <c:numCache>
                <c:formatCode>0</c:formatCode>
                <c:ptCount val="1"/>
                <c:pt idx="0">
                  <c:v>0</c:v>
                </c:pt>
              </c:numCache>
            </c:numRef>
          </c:val>
          <c:extLst>
            <c:ext xmlns:c16="http://schemas.microsoft.com/office/drawing/2014/chart" uri="{C3380CC4-5D6E-409C-BE32-E72D297353CC}">
              <c16:uniqueId val="{00000000-A32F-4102-A518-C936CE1FE6FF}"/>
            </c:ext>
          </c:extLst>
        </c:ser>
        <c:ser>
          <c:idx val="1"/>
          <c:order val="1"/>
          <c:tx>
            <c:strRef>
              <c:f>'Simulation prix carbone'!$B$91</c:f>
              <c:strCache>
                <c:ptCount val="1"/>
                <c:pt idx="0">
                  <c:v>Electroménager</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carbone'!$D$91</c:f>
              <c:numCache>
                <c:formatCode>0</c:formatCode>
                <c:ptCount val="1"/>
                <c:pt idx="0">
                  <c:v>0</c:v>
                </c:pt>
              </c:numCache>
            </c:numRef>
          </c:val>
          <c:extLst>
            <c:ext xmlns:c16="http://schemas.microsoft.com/office/drawing/2014/chart" uri="{C3380CC4-5D6E-409C-BE32-E72D297353CC}">
              <c16:uniqueId val="{00000000-9549-4048-82EC-A297D92B48F4}"/>
            </c:ext>
          </c:extLst>
        </c:ser>
        <c:ser>
          <c:idx val="2"/>
          <c:order val="2"/>
          <c:tx>
            <c:strRef>
              <c:f>'Simulation prix carbone'!$B$92</c:f>
              <c:strCache>
                <c:ptCount val="1"/>
                <c:pt idx="0">
                  <c:v>Internet</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carbone'!$D$92</c:f>
              <c:numCache>
                <c:formatCode>0</c:formatCode>
                <c:ptCount val="1"/>
                <c:pt idx="0">
                  <c:v>0</c:v>
                </c:pt>
              </c:numCache>
            </c:numRef>
          </c:val>
          <c:extLst>
            <c:ext xmlns:c16="http://schemas.microsoft.com/office/drawing/2014/chart" uri="{C3380CC4-5D6E-409C-BE32-E72D297353CC}">
              <c16:uniqueId val="{00000001-9549-4048-82EC-A297D92B48F4}"/>
            </c:ext>
          </c:extLst>
        </c:ser>
        <c:ser>
          <c:idx val="3"/>
          <c:order val="3"/>
          <c:tx>
            <c:strRef>
              <c:f>'Simulation prix carbone'!$B$93</c:f>
              <c:strCache>
                <c:ptCount val="1"/>
                <c:pt idx="0">
                  <c:v>Textile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carbone'!$D$93</c:f>
              <c:numCache>
                <c:formatCode>0</c:formatCode>
                <c:ptCount val="1"/>
                <c:pt idx="0">
                  <c:v>0</c:v>
                </c:pt>
              </c:numCache>
            </c:numRef>
          </c:val>
          <c:extLst>
            <c:ext xmlns:c16="http://schemas.microsoft.com/office/drawing/2014/chart" uri="{C3380CC4-5D6E-409C-BE32-E72D297353CC}">
              <c16:uniqueId val="{00000002-9549-4048-82EC-A297D92B48F4}"/>
            </c:ext>
          </c:extLst>
        </c:ser>
        <c:ser>
          <c:idx val="4"/>
          <c:order val="4"/>
          <c:tx>
            <c:strRef>
              <c:f>'Simulation prix carbone'!$B$94</c:f>
              <c:strCache>
                <c:ptCount val="1"/>
                <c:pt idx="0">
                  <c:v>Autres produits manufacturés </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carbone'!$D$94</c:f>
              <c:numCache>
                <c:formatCode>0</c:formatCode>
                <c:ptCount val="1"/>
                <c:pt idx="0">
                  <c:v>0</c:v>
                </c:pt>
              </c:numCache>
            </c:numRef>
          </c:val>
          <c:extLst>
            <c:ext xmlns:c16="http://schemas.microsoft.com/office/drawing/2014/chart" uri="{C3380CC4-5D6E-409C-BE32-E72D297353CC}">
              <c16:uniqueId val="{00000003-9549-4048-82EC-A297D92B48F4}"/>
            </c:ext>
          </c:extLst>
        </c:ser>
        <c:dLbls>
          <c:dLblPos val="ctr"/>
          <c:showLegendKey val="0"/>
          <c:showVal val="1"/>
          <c:showCatName val="0"/>
          <c:showSerName val="0"/>
          <c:showPercent val="0"/>
          <c:showBubbleSize val="0"/>
        </c:dLbls>
        <c:gapWidth val="150"/>
        <c:overlap val="100"/>
        <c:axId val="-891258336"/>
        <c:axId val="-891255616"/>
      </c:barChart>
      <c:catAx>
        <c:axId val="-891258336"/>
        <c:scaling>
          <c:orientation val="minMax"/>
        </c:scaling>
        <c:delete val="1"/>
        <c:axPos val="b"/>
        <c:numFmt formatCode="General" sourceLinked="1"/>
        <c:majorTickMark val="out"/>
        <c:minorTickMark val="none"/>
        <c:tickLblPos val="nextTo"/>
        <c:crossAx val="-891255616"/>
        <c:crossesAt val="0"/>
        <c:auto val="1"/>
        <c:lblAlgn val="ctr"/>
        <c:lblOffset val="100"/>
        <c:noMultiLvlLbl val="0"/>
      </c:catAx>
      <c:valAx>
        <c:axId val="-891255616"/>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891258336"/>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fr-FR"/>
              <a:t>Surcoûts annuels</a:t>
            </a:r>
            <a:r>
              <a:rPr lang="fr-FR" baseline="0"/>
              <a:t> en €</a:t>
            </a:r>
            <a:endParaRPr lang="fr-F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manualLayout>
          <c:layoutTarget val="inner"/>
          <c:xMode val="edge"/>
          <c:yMode val="edge"/>
          <c:x val="0.24251968503937124"/>
          <c:y val="0.15759312320916904"/>
          <c:w val="0.7070866141732286"/>
          <c:h val="0.74212034383954162"/>
        </c:manualLayout>
      </c:layout>
      <c:barChart>
        <c:barDir val="col"/>
        <c:grouping val="stacked"/>
        <c:varyColors val="0"/>
        <c:ser>
          <c:idx val="0"/>
          <c:order val="0"/>
          <c:tx>
            <c:strRef>
              <c:f>'Simulation prix carbone'!$A$14</c:f>
              <c:strCache>
                <c:ptCount val="1"/>
                <c:pt idx="0">
                  <c:v>Logement</c:v>
                </c:pt>
              </c:strCache>
            </c:strRef>
          </c:tx>
          <c:spPr>
            <a:solidFill>
              <a:schemeClr val="accent2">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carbone'!$C$14</c:f>
              <c:numCache>
                <c:formatCode>_-* #\ ##0\ _€_-;\-* #\ ##0\ _€_-;_-* "-"??\ _€_-;_-@_-</c:formatCode>
                <c:ptCount val="1"/>
                <c:pt idx="0">
                  <c:v>0</c:v>
                </c:pt>
              </c:numCache>
            </c:numRef>
          </c:val>
          <c:extLst>
            <c:ext xmlns:c16="http://schemas.microsoft.com/office/drawing/2014/chart" uri="{C3380CC4-5D6E-409C-BE32-E72D297353CC}">
              <c16:uniqueId val="{00000000-CD8A-4F8E-89F4-AC17A5F34127}"/>
            </c:ext>
          </c:extLst>
        </c:ser>
        <c:ser>
          <c:idx val="1"/>
          <c:order val="1"/>
          <c:tx>
            <c:strRef>
              <c:f>'Simulation prix carbone'!$A$15</c:f>
              <c:strCache>
                <c:ptCount val="1"/>
                <c:pt idx="0">
                  <c:v>Transports</c:v>
                </c:pt>
              </c:strCache>
            </c:strRef>
          </c:tx>
          <c:spPr>
            <a:solidFill>
              <a:schemeClr val="accent2">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carbone'!$C$15</c:f>
              <c:numCache>
                <c:formatCode>_-* #\ ##0\ _€_-;\-* #\ ##0\ _€_-;_-* "-"??\ _€_-;_-@_-</c:formatCode>
                <c:ptCount val="1"/>
                <c:pt idx="0">
                  <c:v>9.8798746081504731</c:v>
                </c:pt>
              </c:numCache>
            </c:numRef>
          </c:val>
          <c:extLst>
            <c:ext xmlns:c16="http://schemas.microsoft.com/office/drawing/2014/chart" uri="{C3380CC4-5D6E-409C-BE32-E72D297353CC}">
              <c16:uniqueId val="{00000000-BC52-4DDD-896F-CB13804B3DF1}"/>
            </c:ext>
          </c:extLst>
        </c:ser>
        <c:ser>
          <c:idx val="2"/>
          <c:order val="2"/>
          <c:tx>
            <c:strRef>
              <c:f>'Simulation prix carbone'!$A$16</c:f>
              <c:strCache>
                <c:ptCount val="1"/>
                <c:pt idx="0">
                  <c:v>Alimentation</c:v>
                </c:pt>
              </c:strCache>
            </c:strRef>
          </c:tx>
          <c:spPr>
            <a:solidFill>
              <a:schemeClr val="accent2">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carbone'!$C$16</c:f>
              <c:numCache>
                <c:formatCode>_-* #\ ##0\ _€_-;\-* #\ ##0\ _€_-;_-* "-"??\ _€_-;_-@_-</c:formatCode>
                <c:ptCount val="1"/>
                <c:pt idx="0">
                  <c:v>29.404388714733546</c:v>
                </c:pt>
              </c:numCache>
            </c:numRef>
          </c:val>
          <c:extLst>
            <c:ext xmlns:c16="http://schemas.microsoft.com/office/drawing/2014/chart" uri="{C3380CC4-5D6E-409C-BE32-E72D297353CC}">
              <c16:uniqueId val="{00000001-BC52-4DDD-896F-CB13804B3DF1}"/>
            </c:ext>
          </c:extLst>
        </c:ser>
        <c:ser>
          <c:idx val="3"/>
          <c:order val="3"/>
          <c:tx>
            <c:strRef>
              <c:f>'Simulation prix carbone'!$A$17</c:f>
              <c:strCache>
                <c:ptCount val="1"/>
                <c:pt idx="0">
                  <c:v>Bien et services</c:v>
                </c:pt>
              </c:strCache>
            </c:strRef>
          </c:tx>
          <c:spPr>
            <a:solidFill>
              <a:schemeClr val="accent2">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carbone'!$C$17</c:f>
              <c:numCache>
                <c:formatCode>_-* #\ ##0\ _€_-;\-* #\ ##0\ _€_-;_-* "-"??\ _€_-;_-@_-</c:formatCode>
                <c:ptCount val="1"/>
                <c:pt idx="0">
                  <c:v>0</c:v>
                </c:pt>
              </c:numCache>
            </c:numRef>
          </c:val>
          <c:extLst>
            <c:ext xmlns:c16="http://schemas.microsoft.com/office/drawing/2014/chart" uri="{C3380CC4-5D6E-409C-BE32-E72D297353CC}">
              <c16:uniqueId val="{00000002-BC52-4DDD-896F-CB13804B3DF1}"/>
            </c:ext>
          </c:extLst>
        </c:ser>
        <c:ser>
          <c:idx val="4"/>
          <c:order val="4"/>
          <c:tx>
            <c:strRef>
              <c:f>'Simulation prix carbone'!$A$18</c:f>
              <c:strCache>
                <c:ptCount val="1"/>
                <c:pt idx="0">
                  <c:v>Finances</c:v>
                </c:pt>
              </c:strCache>
            </c:strRef>
          </c:tx>
          <c:spPr>
            <a:solidFill>
              <a:schemeClr val="accent2">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carbone'!$C$18</c:f>
              <c:numCache>
                <c:formatCode>_-* #\ ##0\ _€_-;\-* #\ ##0\ _€_-;_-* "-"??\ _€_-;_-@_-</c:formatCode>
                <c:ptCount val="1"/>
                <c:pt idx="0">
                  <c:v>0</c:v>
                </c:pt>
              </c:numCache>
            </c:numRef>
          </c:val>
          <c:extLst>
            <c:ext xmlns:c16="http://schemas.microsoft.com/office/drawing/2014/chart" uri="{C3380CC4-5D6E-409C-BE32-E72D297353CC}">
              <c16:uniqueId val="{00000003-BC52-4DDD-896F-CB13804B3DF1}"/>
            </c:ext>
          </c:extLst>
        </c:ser>
        <c:ser>
          <c:idx val="5"/>
          <c:order val="5"/>
          <c:tx>
            <c:strRef>
              <c:f>'Simulation prix carbone'!$A$19</c:f>
              <c:strCache>
                <c:ptCount val="1"/>
                <c:pt idx="0">
                  <c:v>Services publics</c:v>
                </c:pt>
              </c:strCache>
            </c:strRef>
          </c:tx>
          <c:spPr>
            <a:solidFill>
              <a:schemeClr val="accent2">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carbone'!$C$19</c:f>
              <c:numCache>
                <c:formatCode>_-* #\ ##0\ _€_-;\-* #\ ##0\ _€_-;_-* "-"??\ _€_-;_-@_-</c:formatCode>
                <c:ptCount val="1"/>
                <c:pt idx="0">
                  <c:v>191.12852664576806</c:v>
                </c:pt>
              </c:numCache>
            </c:numRef>
          </c:val>
          <c:extLst>
            <c:ext xmlns:c16="http://schemas.microsoft.com/office/drawing/2014/chart" uri="{C3380CC4-5D6E-409C-BE32-E72D297353CC}">
              <c16:uniqueId val="{00000004-BC52-4DDD-896F-CB13804B3DF1}"/>
            </c:ext>
          </c:extLst>
        </c:ser>
        <c:dLbls>
          <c:dLblPos val="ctr"/>
          <c:showLegendKey val="0"/>
          <c:showVal val="1"/>
          <c:showCatName val="0"/>
          <c:showSerName val="0"/>
          <c:showPercent val="0"/>
          <c:showBubbleSize val="0"/>
        </c:dLbls>
        <c:gapWidth val="150"/>
        <c:overlap val="100"/>
        <c:axId val="-624292448"/>
        <c:axId val="-624292992"/>
      </c:barChart>
      <c:catAx>
        <c:axId val="-624292448"/>
        <c:scaling>
          <c:orientation val="minMax"/>
        </c:scaling>
        <c:delete val="1"/>
        <c:axPos val="b"/>
        <c:numFmt formatCode="General" sourceLinked="1"/>
        <c:majorTickMark val="out"/>
        <c:minorTickMark val="none"/>
        <c:tickLblPos val="nextTo"/>
        <c:crossAx val="-624292992"/>
        <c:crosses val="autoZero"/>
        <c:auto val="1"/>
        <c:lblAlgn val="ctr"/>
        <c:lblOffset val="100"/>
        <c:noMultiLvlLbl val="0"/>
      </c:catAx>
      <c:valAx>
        <c:axId val="-62429299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_-* #\ ##0\ _€_-;\-* #\ ##0\ _€_-;_-* &quot;-&quot;??\ _€_-;_-@_-"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624292448"/>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fr-FR"/>
    </a:p>
  </c:txPr>
  <c:printSettings>
    <c:headerFooter/>
    <c:pageMargins b="0.75000000000000289" l="0.70000000000000062" r="0.70000000000000062" t="0.750000000000002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Pertes de rendement de la finance (en €/an)</a:t>
            </a:r>
          </a:p>
        </c:rich>
      </c:tx>
      <c:layout>
        <c:manualLayout>
          <c:xMode val="edge"/>
          <c:yMode val="edge"/>
          <c:x val="0.21130981403125323"/>
          <c:y val="2.8571295844656602E-2"/>
        </c:manualLayout>
      </c:layout>
      <c:overlay val="0"/>
      <c:spPr>
        <a:noFill/>
        <a:ln w="25400">
          <a:noFill/>
        </a:ln>
      </c:spPr>
    </c:title>
    <c:autoTitleDeleted val="0"/>
    <c:plotArea>
      <c:layout>
        <c:manualLayout>
          <c:layoutTarget val="inner"/>
          <c:xMode val="edge"/>
          <c:yMode val="edge"/>
          <c:x val="0.20048219632649353"/>
          <c:y val="0.13498567323512328"/>
          <c:w val="0.75515497914981267"/>
          <c:h val="0.50685398195932418"/>
        </c:manualLayout>
      </c:layout>
      <c:barChart>
        <c:barDir val="bar"/>
        <c:grouping val="clustered"/>
        <c:varyColors val="0"/>
        <c:ser>
          <c:idx val="0"/>
          <c:order val="0"/>
          <c:spPr>
            <a:solidFill>
              <a:srgbClr val="F39912"/>
            </a:solidFill>
            <a:ln w="25400">
              <a:noFill/>
            </a:ln>
          </c:spPr>
          <c:invertIfNegative val="0"/>
          <c:cat>
            <c:strRef>
              <c:f>'Simulation prix carbone'!$B$99:$B$100</c:f>
              <c:strCache>
                <c:ptCount val="2"/>
                <c:pt idx="0">
                  <c:v>Banques/actifs classiques</c:v>
                </c:pt>
                <c:pt idx="1">
                  <c:v>Banques/actifs "responsables"</c:v>
                </c:pt>
              </c:strCache>
            </c:strRef>
          </c:cat>
          <c:val>
            <c:numRef>
              <c:f>'Simulation prix carbone'!$D$99:$D$100</c:f>
              <c:numCache>
                <c:formatCode>0</c:formatCode>
                <c:ptCount val="2"/>
                <c:pt idx="0">
                  <c:v>0</c:v>
                </c:pt>
                <c:pt idx="1">
                  <c:v>0</c:v>
                </c:pt>
              </c:numCache>
            </c:numRef>
          </c:val>
          <c:extLst>
            <c:ext xmlns:c16="http://schemas.microsoft.com/office/drawing/2014/chart" uri="{C3380CC4-5D6E-409C-BE32-E72D297353CC}">
              <c16:uniqueId val="{00000000-5FBC-4075-A585-237AA21877C0}"/>
            </c:ext>
          </c:extLst>
        </c:ser>
        <c:dLbls>
          <c:showLegendKey val="0"/>
          <c:showVal val="0"/>
          <c:showCatName val="0"/>
          <c:showSerName val="0"/>
          <c:showPercent val="0"/>
          <c:showBubbleSize val="0"/>
        </c:dLbls>
        <c:gapWidth val="150"/>
        <c:axId val="-624300064"/>
        <c:axId val="-624298432"/>
      </c:barChart>
      <c:catAx>
        <c:axId val="-624300064"/>
        <c:scaling>
          <c:orientation val="minMax"/>
        </c:scaling>
        <c:delete val="0"/>
        <c:axPos val="l"/>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fr-FR"/>
          </a:p>
        </c:txPr>
        <c:crossAx val="-624298432"/>
        <c:crossesAt val="0"/>
        <c:auto val="1"/>
        <c:lblAlgn val="ctr"/>
        <c:lblOffset val="100"/>
        <c:noMultiLvlLbl val="0"/>
      </c:catAx>
      <c:valAx>
        <c:axId val="-624298432"/>
        <c:scaling>
          <c:orientation val="minMax"/>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624300064"/>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l'énergie (en €/an)</a:t>
            </a:r>
          </a:p>
        </c:rich>
      </c:tx>
      <c:layout>
        <c:manualLayout>
          <c:xMode val="edge"/>
          <c:yMode val="edge"/>
          <c:x val="0.24947627700383604"/>
          <c:y val="2.4911052785068596E-2"/>
        </c:manualLayout>
      </c:layout>
      <c:overlay val="0"/>
      <c:spPr>
        <a:noFill/>
        <a:ln w="25400">
          <a:noFill/>
        </a:ln>
      </c:spPr>
    </c:title>
    <c:autoTitleDeleted val="0"/>
    <c:plotArea>
      <c:layout>
        <c:manualLayout>
          <c:layoutTarget val="inner"/>
          <c:xMode val="edge"/>
          <c:yMode val="edge"/>
          <c:x val="0.22604441752473331"/>
          <c:y val="0.20068534580385575"/>
          <c:w val="0.65865313951141102"/>
          <c:h val="0.75722671761688376"/>
        </c:manualLayout>
      </c:layout>
      <c:barChart>
        <c:barDir val="col"/>
        <c:grouping val="stacked"/>
        <c:varyColors val="0"/>
        <c:ser>
          <c:idx val="0"/>
          <c:order val="0"/>
          <c:tx>
            <c:strRef>
              <c:f>'Simulation prix carbone'!$B$39</c:f>
              <c:strCache>
                <c:ptCount val="1"/>
                <c:pt idx="0">
                  <c:v>Voiture ess/gazoil</c:v>
                </c:pt>
              </c:strCache>
            </c:strRef>
          </c:tx>
          <c:spPr>
            <a:solidFill>
              <a:srgbClr val="F39912"/>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carbone'!$D$39</c:f>
              <c:numCache>
                <c:formatCode>_-* #\ ##0\ _€_-;\-* #\ ##0\ _€_-;_-* "-"??\ _€_-;_-@_-</c:formatCode>
                <c:ptCount val="1"/>
                <c:pt idx="0">
                  <c:v>0</c:v>
                </c:pt>
              </c:numCache>
            </c:numRef>
          </c:val>
          <c:extLst>
            <c:ext xmlns:c16="http://schemas.microsoft.com/office/drawing/2014/chart" uri="{C3380CC4-5D6E-409C-BE32-E72D297353CC}">
              <c16:uniqueId val="{00000000-8A2D-46D4-9189-1AC085934E59}"/>
            </c:ext>
          </c:extLst>
        </c:ser>
        <c:ser>
          <c:idx val="1"/>
          <c:order val="1"/>
          <c:tx>
            <c:strRef>
              <c:f>'Simulation prix carbone'!$B$40</c:f>
              <c:strCache>
                <c:ptCount val="1"/>
                <c:pt idx="0">
                  <c:v>Voiture gaz (GPL)</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carbone'!$D$40</c:f>
              <c:numCache>
                <c:formatCode>_-* #\ ##0\ _€_-;\-* #\ ##0\ _€_-;_-* "-"??\ _€_-;_-@_-</c:formatCode>
                <c:ptCount val="1"/>
                <c:pt idx="0">
                  <c:v>0</c:v>
                </c:pt>
              </c:numCache>
            </c:numRef>
          </c:val>
          <c:extLst>
            <c:ext xmlns:c16="http://schemas.microsoft.com/office/drawing/2014/chart" uri="{C3380CC4-5D6E-409C-BE32-E72D297353CC}">
              <c16:uniqueId val="{00000001-8A2D-46D4-9189-1AC085934E59}"/>
            </c:ext>
          </c:extLst>
        </c:ser>
        <c:ser>
          <c:idx val="2"/>
          <c:order val="2"/>
          <c:tx>
            <c:strRef>
              <c:f>'Simulation prix carbone'!$B$41</c:f>
              <c:strCache>
                <c:ptCount val="1"/>
                <c:pt idx="0">
                  <c:v>Voiture électrique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carbone'!$D$41</c:f>
              <c:numCache>
                <c:formatCode>_-* #\ ##0\ _€_-;\-* #\ ##0\ _€_-;_-* "-"??\ _€_-;_-@_-</c:formatCode>
                <c:ptCount val="1"/>
                <c:pt idx="0">
                  <c:v>0</c:v>
                </c:pt>
              </c:numCache>
            </c:numRef>
          </c:val>
          <c:extLst>
            <c:ext xmlns:c16="http://schemas.microsoft.com/office/drawing/2014/chart" uri="{C3380CC4-5D6E-409C-BE32-E72D297353CC}">
              <c16:uniqueId val="{00000002-8A2D-46D4-9189-1AC085934E59}"/>
            </c:ext>
          </c:extLst>
        </c:ser>
        <c:ser>
          <c:idx val="3"/>
          <c:order val="3"/>
          <c:tx>
            <c:strRef>
              <c:f>'Simulation prix carbone'!$B$42</c:f>
              <c:strCache>
                <c:ptCount val="1"/>
                <c:pt idx="0">
                  <c:v>Moto/Scooter/Mobilette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carbone'!$D$42</c:f>
              <c:numCache>
                <c:formatCode>_-* #\ ##0\ _€_-;\-* #\ ##0\ _€_-;_-* "-"??\ _€_-;_-@_-</c:formatCode>
                <c:ptCount val="1"/>
                <c:pt idx="0">
                  <c:v>0</c:v>
                </c:pt>
              </c:numCache>
            </c:numRef>
          </c:val>
          <c:extLst>
            <c:ext xmlns:c16="http://schemas.microsoft.com/office/drawing/2014/chart" uri="{C3380CC4-5D6E-409C-BE32-E72D297353CC}">
              <c16:uniqueId val="{00000003-8A2D-46D4-9189-1AC085934E59}"/>
            </c:ext>
          </c:extLst>
        </c:ser>
        <c:ser>
          <c:idx val="4"/>
          <c:order val="4"/>
          <c:tx>
            <c:strRef>
              <c:f>'Simulation prix carbone'!$B$43</c:f>
              <c:strCache>
                <c:ptCount val="1"/>
                <c:pt idx="0">
                  <c:v>Avion</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carbone'!$D$43</c:f>
              <c:numCache>
                <c:formatCode>_-* #\ ##0\ _€_-;\-* #\ ##0\ _€_-;_-* "-"??\ _€_-;_-@_-</c:formatCode>
                <c:ptCount val="1"/>
                <c:pt idx="0">
                  <c:v>0</c:v>
                </c:pt>
              </c:numCache>
            </c:numRef>
          </c:val>
          <c:extLst>
            <c:ext xmlns:c16="http://schemas.microsoft.com/office/drawing/2014/chart" uri="{C3380CC4-5D6E-409C-BE32-E72D297353CC}">
              <c16:uniqueId val="{00000004-8A2D-46D4-9189-1AC085934E59}"/>
            </c:ext>
          </c:extLst>
        </c:ser>
        <c:ser>
          <c:idx val="5"/>
          <c:order val="5"/>
          <c:tx>
            <c:strRef>
              <c:f>'Simulation prix carbone'!$B$44</c:f>
              <c:strCache>
                <c:ptCount val="1"/>
                <c:pt idx="0">
                  <c:v>Trains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carbone'!$D$44</c:f>
              <c:numCache>
                <c:formatCode>_-* #\ ##0\ _€_-;\-* #\ ##0\ _€_-;_-* "-"??\ _€_-;_-@_-</c:formatCode>
                <c:ptCount val="1"/>
                <c:pt idx="0">
                  <c:v>9.8798746081504731</c:v>
                </c:pt>
              </c:numCache>
            </c:numRef>
          </c:val>
          <c:extLst>
            <c:ext xmlns:c16="http://schemas.microsoft.com/office/drawing/2014/chart" uri="{C3380CC4-5D6E-409C-BE32-E72D297353CC}">
              <c16:uniqueId val="{00000005-8A2D-46D4-9189-1AC085934E59}"/>
            </c:ext>
          </c:extLst>
        </c:ser>
        <c:ser>
          <c:idx val="6"/>
          <c:order val="6"/>
          <c:tx>
            <c:strRef>
              <c:f>'Simulation prix carbone'!$B$45</c:f>
              <c:strCache>
                <c:ptCount val="1"/>
                <c:pt idx="0">
                  <c:v>Bus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carbone'!$D$45</c:f>
              <c:numCache>
                <c:formatCode>_-* #\ ##0\ _€_-;\-* #\ ##0\ _€_-;_-* "-"??\ _€_-;_-@_-</c:formatCode>
                <c:ptCount val="1"/>
                <c:pt idx="0">
                  <c:v>0</c:v>
                </c:pt>
              </c:numCache>
            </c:numRef>
          </c:val>
          <c:extLst>
            <c:ext xmlns:c16="http://schemas.microsoft.com/office/drawing/2014/chart" uri="{C3380CC4-5D6E-409C-BE32-E72D297353CC}">
              <c16:uniqueId val="{00000006-8A2D-46D4-9189-1AC085934E59}"/>
            </c:ext>
          </c:extLst>
        </c:ser>
        <c:ser>
          <c:idx val="7"/>
          <c:order val="7"/>
          <c:tx>
            <c:strRef>
              <c:f>'Simulation prix carbone'!$B$46</c:f>
              <c:strCache>
                <c:ptCount val="1"/>
                <c:pt idx="0">
                  <c:v>Métro</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carbone'!$D$46</c:f>
              <c:numCache>
                <c:formatCode>_-* #\ ##0\ _€_-;\-* #\ ##0\ _€_-;_-* "-"??\ _€_-;_-@_-</c:formatCode>
                <c:ptCount val="1"/>
                <c:pt idx="0">
                  <c:v>0</c:v>
                </c:pt>
              </c:numCache>
            </c:numRef>
          </c:val>
          <c:extLst>
            <c:ext xmlns:c16="http://schemas.microsoft.com/office/drawing/2014/chart" uri="{C3380CC4-5D6E-409C-BE32-E72D297353CC}">
              <c16:uniqueId val="{00000007-8A2D-46D4-9189-1AC085934E59}"/>
            </c:ext>
          </c:extLst>
        </c:ser>
        <c:dLbls>
          <c:dLblPos val="ctr"/>
          <c:showLegendKey val="0"/>
          <c:showVal val="1"/>
          <c:showCatName val="0"/>
          <c:showSerName val="0"/>
          <c:showPercent val="0"/>
          <c:showBubbleSize val="0"/>
        </c:dLbls>
        <c:gapWidth val="150"/>
        <c:overlap val="100"/>
        <c:axId val="-685795376"/>
        <c:axId val="-685789936"/>
      </c:barChart>
      <c:catAx>
        <c:axId val="-685795376"/>
        <c:scaling>
          <c:orientation val="minMax"/>
        </c:scaling>
        <c:delete val="1"/>
        <c:axPos val="b"/>
        <c:numFmt formatCode="General" sourceLinked="1"/>
        <c:majorTickMark val="out"/>
        <c:minorTickMark val="none"/>
        <c:tickLblPos val="nextTo"/>
        <c:crossAx val="-685789936"/>
        <c:crossesAt val="0"/>
        <c:auto val="1"/>
        <c:lblAlgn val="ctr"/>
        <c:lblOffset val="100"/>
        <c:noMultiLvlLbl val="0"/>
      </c:catAx>
      <c:valAx>
        <c:axId val="-685789936"/>
        <c:scaling>
          <c:orientation val="minMax"/>
        </c:scaling>
        <c:delete val="0"/>
        <c:axPos val="l"/>
        <c:majorGridlines>
          <c:spPr>
            <a:ln w="3175">
              <a:solidFill>
                <a:srgbClr val="808080"/>
              </a:solidFill>
              <a:prstDash val="solid"/>
            </a:ln>
          </c:spPr>
        </c:majorGridlines>
        <c:numFmt formatCode="_-* #\ ##0\ _€_-;\-* #\ ##0\ _€_-;_-* &quot;-&quot;??\ _€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685795376"/>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l'alimentation (en €/an)</a:t>
            </a:r>
          </a:p>
        </c:rich>
      </c:tx>
      <c:layout>
        <c:manualLayout>
          <c:xMode val="edge"/>
          <c:yMode val="edge"/>
          <c:x val="0.24947627700383604"/>
          <c:y val="2.4911052785068596E-2"/>
        </c:manualLayout>
      </c:layout>
      <c:overlay val="0"/>
      <c:spPr>
        <a:noFill/>
        <a:ln w="25400">
          <a:noFill/>
        </a:ln>
      </c:spPr>
    </c:title>
    <c:autoTitleDeleted val="0"/>
    <c:plotArea>
      <c:layout>
        <c:manualLayout>
          <c:layoutTarget val="inner"/>
          <c:xMode val="edge"/>
          <c:yMode val="edge"/>
          <c:x val="0.22604441752473331"/>
          <c:y val="0.20068534580385575"/>
          <c:w val="0.65865313951141102"/>
          <c:h val="0.73918840293966426"/>
        </c:manualLayout>
      </c:layout>
      <c:barChart>
        <c:barDir val="col"/>
        <c:grouping val="stacked"/>
        <c:varyColors val="0"/>
        <c:ser>
          <c:idx val="0"/>
          <c:order val="0"/>
          <c:tx>
            <c:strRef>
              <c:f>'Simulation prix carbone'!$B$52</c:f>
              <c:strCache>
                <c:ptCount val="1"/>
                <c:pt idx="0">
                  <c:v>Repas végétariens</c:v>
                </c:pt>
              </c:strCache>
            </c:strRef>
          </c:tx>
          <c:spPr>
            <a:solidFill>
              <a:srgbClr val="F39912"/>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carbone'!$D$52</c:f>
              <c:numCache>
                <c:formatCode>0</c:formatCode>
                <c:ptCount val="1"/>
                <c:pt idx="0">
                  <c:v>0</c:v>
                </c:pt>
              </c:numCache>
            </c:numRef>
          </c:val>
          <c:extLst>
            <c:ext xmlns:c16="http://schemas.microsoft.com/office/drawing/2014/chart" uri="{C3380CC4-5D6E-409C-BE32-E72D297353CC}">
              <c16:uniqueId val="{00000000-A20E-46DA-8B6F-0FBE3AB00997}"/>
            </c:ext>
          </c:extLst>
        </c:ser>
        <c:ser>
          <c:idx val="1"/>
          <c:order val="1"/>
          <c:tx>
            <c:strRef>
              <c:f>'Simulation prix carbone'!$B$53</c:f>
              <c:strCache>
                <c:ptCount val="1"/>
                <c:pt idx="0">
                  <c:v>Repas à base viande rouge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carbone'!$D$53</c:f>
              <c:numCache>
                <c:formatCode>0</c:formatCode>
                <c:ptCount val="1"/>
                <c:pt idx="0">
                  <c:v>0</c:v>
                </c:pt>
              </c:numCache>
            </c:numRef>
          </c:val>
          <c:extLst>
            <c:ext xmlns:c16="http://schemas.microsoft.com/office/drawing/2014/chart" uri="{C3380CC4-5D6E-409C-BE32-E72D297353CC}">
              <c16:uniqueId val="{00000001-A20E-46DA-8B6F-0FBE3AB00997}"/>
            </c:ext>
          </c:extLst>
        </c:ser>
        <c:ser>
          <c:idx val="2"/>
          <c:order val="2"/>
          <c:tx>
            <c:strRef>
              <c:f>'Simulation prix carbone'!$B$54</c:f>
              <c:strCache>
                <c:ptCount val="1"/>
                <c:pt idx="0">
                  <c:v>Repas à base viande blanche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carbone'!$D$54</c:f>
              <c:numCache>
                <c:formatCode>0</c:formatCode>
                <c:ptCount val="1"/>
                <c:pt idx="0">
                  <c:v>0</c:v>
                </c:pt>
              </c:numCache>
            </c:numRef>
          </c:val>
          <c:extLst>
            <c:ext xmlns:c16="http://schemas.microsoft.com/office/drawing/2014/chart" uri="{C3380CC4-5D6E-409C-BE32-E72D297353CC}">
              <c16:uniqueId val="{00000002-A20E-46DA-8B6F-0FBE3AB00997}"/>
            </c:ext>
          </c:extLst>
        </c:ser>
        <c:ser>
          <c:idx val="4"/>
          <c:order val="3"/>
          <c:tx>
            <c:strRef>
              <c:f>'Simulation prix carbone'!$B$55</c:f>
              <c:strCache>
                <c:ptCount val="1"/>
                <c:pt idx="0">
                  <c:v>Boissons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carbone'!$D$55</c:f>
              <c:numCache>
                <c:formatCode>0</c:formatCode>
                <c:ptCount val="1"/>
                <c:pt idx="0">
                  <c:v>0</c:v>
                </c:pt>
              </c:numCache>
            </c:numRef>
          </c:val>
          <c:extLst>
            <c:ext xmlns:c16="http://schemas.microsoft.com/office/drawing/2014/chart" uri="{C3380CC4-5D6E-409C-BE32-E72D297353CC}">
              <c16:uniqueId val="{00000004-A20E-46DA-8B6F-0FBE3AB00997}"/>
            </c:ext>
          </c:extLst>
        </c:ser>
        <c:ser>
          <c:idx val="6"/>
          <c:order val="4"/>
          <c:tx>
            <c:strRef>
              <c:f>'Simulation prix carbone'!$B$56</c:f>
              <c:strCache>
                <c:ptCount val="1"/>
                <c:pt idx="0">
                  <c:v>Déchets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carbone'!$D$56</c:f>
              <c:numCache>
                <c:formatCode>0</c:formatCode>
                <c:ptCount val="1"/>
                <c:pt idx="0">
                  <c:v>29.404388714733546</c:v>
                </c:pt>
              </c:numCache>
            </c:numRef>
          </c:val>
          <c:extLst>
            <c:ext xmlns:c16="http://schemas.microsoft.com/office/drawing/2014/chart" uri="{C3380CC4-5D6E-409C-BE32-E72D297353CC}">
              <c16:uniqueId val="{00000006-A20E-46DA-8B6F-0FBE3AB00997}"/>
            </c:ext>
          </c:extLst>
        </c:ser>
        <c:dLbls>
          <c:dLblPos val="ctr"/>
          <c:showLegendKey val="0"/>
          <c:showVal val="1"/>
          <c:showCatName val="0"/>
          <c:showSerName val="0"/>
          <c:showPercent val="0"/>
          <c:showBubbleSize val="0"/>
        </c:dLbls>
        <c:gapWidth val="150"/>
        <c:overlap val="100"/>
        <c:axId val="-685795376"/>
        <c:axId val="-685789936"/>
      </c:barChart>
      <c:catAx>
        <c:axId val="-685795376"/>
        <c:scaling>
          <c:orientation val="minMax"/>
        </c:scaling>
        <c:delete val="1"/>
        <c:axPos val="b"/>
        <c:numFmt formatCode="General" sourceLinked="1"/>
        <c:majorTickMark val="out"/>
        <c:minorTickMark val="none"/>
        <c:tickLblPos val="nextTo"/>
        <c:crossAx val="-685789936"/>
        <c:crossesAt val="0"/>
        <c:auto val="1"/>
        <c:lblAlgn val="ctr"/>
        <c:lblOffset val="100"/>
        <c:noMultiLvlLbl val="0"/>
      </c:catAx>
      <c:valAx>
        <c:axId val="-685789936"/>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685795376"/>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baseline="0">
                <a:solidFill>
                  <a:srgbClr val="000000"/>
                </a:solidFill>
                <a:latin typeface="Tahoma" pitchFamily="34" charset="0"/>
                <a:ea typeface="Tahoma" pitchFamily="34" charset="0"/>
                <a:cs typeface="Tahoma" pitchFamily="34" charset="0"/>
              </a:defRPr>
            </a:pPr>
            <a:r>
              <a:rPr lang="en-US" b="1">
                <a:latin typeface="Tahoma" pitchFamily="34" charset="0"/>
                <a:ea typeface="Tahoma" pitchFamily="34" charset="0"/>
                <a:cs typeface="Tahoma" pitchFamily="34" charset="0"/>
              </a:rPr>
              <a:t>Emissions</a:t>
            </a:r>
            <a:r>
              <a:rPr lang="en-US" b="1" baseline="0">
                <a:latin typeface="Tahoma" pitchFamily="34" charset="0"/>
                <a:ea typeface="Tahoma" pitchFamily="34" charset="0"/>
                <a:cs typeface="Tahoma" pitchFamily="34" charset="0"/>
              </a:rPr>
              <a:t> annuelles des consommations</a:t>
            </a:r>
            <a:endParaRPr lang="en-US" b="1">
              <a:latin typeface="Tahoma" pitchFamily="34" charset="0"/>
              <a:ea typeface="Tahoma" pitchFamily="34" charset="0"/>
              <a:cs typeface="Tahoma" pitchFamily="34" charset="0"/>
            </a:endParaRPr>
          </a:p>
        </c:rich>
      </c:tx>
      <c:layout>
        <c:manualLayout>
          <c:xMode val="edge"/>
          <c:yMode val="edge"/>
          <c:x val="0.21332737819537348"/>
          <c:y val="5.2401635842031974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Tahoma" pitchFamily="34" charset="0"/>
              <a:ea typeface="Tahoma" pitchFamily="34" charset="0"/>
              <a:cs typeface="Tahoma" pitchFamily="34" charset="0"/>
            </a:defRPr>
          </a:pPr>
          <a:endParaRPr lang="fr-FR"/>
        </a:p>
      </c:txPr>
    </c:title>
    <c:autoTitleDeleted val="0"/>
    <c:plotArea>
      <c:layout>
        <c:manualLayout>
          <c:layoutTarget val="inner"/>
          <c:xMode val="edge"/>
          <c:yMode val="edge"/>
          <c:x val="8.0632158990783548E-2"/>
          <c:y val="0.24791344313402019"/>
          <c:w val="0.20129192069950788"/>
          <c:h val="0.58861652657224106"/>
        </c:manualLayout>
      </c:layout>
      <c:pieChart>
        <c:varyColors val="1"/>
        <c:ser>
          <c:idx val="0"/>
          <c:order val="0"/>
          <c:tx>
            <c:strRef>
              <c:f>Résultats!$D$150</c:f>
              <c:strCache>
                <c:ptCount val="1"/>
                <c:pt idx="0">
                  <c:v>kg eq CO2</c:v>
                </c:pt>
              </c:strCache>
            </c:strRef>
          </c:tx>
          <c:dPt>
            <c:idx val="0"/>
            <c:bubble3D val="0"/>
            <c:spPr>
              <a:solidFill>
                <a:schemeClr val="accent1"/>
              </a:solidFill>
              <a:ln>
                <a:noFill/>
              </a:ln>
              <a:effectLst/>
            </c:spPr>
            <c:extLst>
              <c:ext xmlns:c16="http://schemas.microsoft.com/office/drawing/2014/chart" uri="{C3380CC4-5D6E-409C-BE32-E72D297353CC}">
                <c16:uniqueId val="{00000001-EE33-49E6-B0EA-14F685BE442D}"/>
              </c:ext>
            </c:extLst>
          </c:dPt>
          <c:dPt>
            <c:idx val="1"/>
            <c:bubble3D val="0"/>
            <c:spPr>
              <a:solidFill>
                <a:schemeClr val="accent2"/>
              </a:solidFill>
              <a:ln>
                <a:noFill/>
              </a:ln>
              <a:effectLst/>
            </c:spPr>
            <c:extLst>
              <c:ext xmlns:c16="http://schemas.microsoft.com/office/drawing/2014/chart" uri="{C3380CC4-5D6E-409C-BE32-E72D297353CC}">
                <c16:uniqueId val="{00000003-EE33-49E6-B0EA-14F685BE442D}"/>
              </c:ext>
            </c:extLst>
          </c:dPt>
          <c:dPt>
            <c:idx val="2"/>
            <c:bubble3D val="0"/>
            <c:spPr>
              <a:solidFill>
                <a:schemeClr val="accent3"/>
              </a:solidFill>
              <a:ln>
                <a:noFill/>
              </a:ln>
              <a:effectLst/>
            </c:spPr>
            <c:extLst>
              <c:ext xmlns:c16="http://schemas.microsoft.com/office/drawing/2014/chart" uri="{C3380CC4-5D6E-409C-BE32-E72D297353CC}">
                <c16:uniqueId val="{00000004-EE33-49E6-B0EA-14F685BE442D}"/>
              </c:ext>
            </c:extLst>
          </c:dPt>
          <c:dPt>
            <c:idx val="3"/>
            <c:bubble3D val="0"/>
            <c:spPr>
              <a:solidFill>
                <a:schemeClr val="accent4"/>
              </a:solidFill>
              <a:ln>
                <a:noFill/>
              </a:ln>
              <a:effectLst/>
            </c:spPr>
            <c:extLst>
              <c:ext xmlns:c16="http://schemas.microsoft.com/office/drawing/2014/chart" uri="{C3380CC4-5D6E-409C-BE32-E72D297353CC}">
                <c16:uniqueId val="{00000007-F226-41F0-BB5A-CC0337EBD94E}"/>
              </c:ext>
            </c:extLst>
          </c:dPt>
          <c:dPt>
            <c:idx val="4"/>
            <c:bubble3D val="0"/>
            <c:spPr>
              <a:solidFill>
                <a:schemeClr val="accent5"/>
              </a:solidFill>
              <a:ln>
                <a:noFill/>
              </a:ln>
              <a:effectLst/>
            </c:spPr>
            <c:extLst>
              <c:ext xmlns:c16="http://schemas.microsoft.com/office/drawing/2014/chart" uri="{C3380CC4-5D6E-409C-BE32-E72D297353CC}">
                <c16:uniqueId val="{00000009-F226-41F0-BB5A-CC0337EBD94E}"/>
              </c:ext>
            </c:extLst>
          </c:dPt>
          <c:dPt>
            <c:idx val="5"/>
            <c:bubble3D val="0"/>
            <c:spPr>
              <a:solidFill>
                <a:schemeClr val="accent6"/>
              </a:solidFill>
              <a:ln>
                <a:noFill/>
              </a:ln>
              <a:effectLst/>
            </c:spPr>
            <c:extLst>
              <c:ext xmlns:c16="http://schemas.microsoft.com/office/drawing/2014/chart" uri="{C3380CC4-5D6E-409C-BE32-E72D297353CC}">
                <c16:uniqueId val="{0000000B-F226-41F0-BB5A-CC0337EBD94E}"/>
              </c:ext>
            </c:extLst>
          </c:dPt>
          <c:dLbls>
            <c:dLbl>
              <c:idx val="1"/>
              <c:layout>
                <c:manualLayout>
                  <c:x val="-2.9533759434599991E-2"/>
                  <c:y val="2.4628362502722248E-3"/>
                </c:manualLayout>
              </c:layout>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E33-49E6-B0EA-14F685BE442D}"/>
                </c:ext>
              </c:extLst>
            </c:dLbl>
            <c:dLbl>
              <c:idx val="2"/>
              <c:layout>
                <c:manualLayout>
                  <c:x val="-6.4027076544384024E-3"/>
                  <c:y val="-3.1088035392955802E-3"/>
                </c:manualLayout>
              </c:layout>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E33-49E6-B0EA-14F685BE442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Résultats!$B$151:$B$156</c:f>
              <c:strCache>
                <c:ptCount val="6"/>
                <c:pt idx="0">
                  <c:v>Matériel informatique &amp; électronique </c:v>
                </c:pt>
                <c:pt idx="1">
                  <c:v>Electroménager</c:v>
                </c:pt>
                <c:pt idx="2">
                  <c:v>Internet</c:v>
                </c:pt>
                <c:pt idx="3">
                  <c:v>Textile</c:v>
                </c:pt>
                <c:pt idx="4">
                  <c:v>Véhicules possédés</c:v>
                </c:pt>
                <c:pt idx="5">
                  <c:v>Autres produits manufacturés </c:v>
                </c:pt>
              </c:strCache>
            </c:strRef>
          </c:cat>
          <c:val>
            <c:numRef>
              <c:f>Résultats!$D$151:$D$156</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EE33-49E6-B0EA-14F685BE442D}"/>
            </c:ext>
          </c:extLst>
        </c:ser>
        <c:dLbls>
          <c:showLegendKey val="0"/>
          <c:showVal val="0"/>
          <c:showCatName val="0"/>
          <c:showSerName val="0"/>
          <c:showPercent val="0"/>
          <c:showBubbleSize val="0"/>
          <c:showLeaderLines val="1"/>
        </c:dLbls>
        <c:firstSliceAng val="0"/>
      </c:pieChart>
      <c:spPr>
        <a:solidFill>
          <a:srgbClr val="FFFFFF"/>
        </a:solidFill>
        <a:ln w="25400">
          <a:noFill/>
        </a:ln>
        <a:effectLst/>
      </c:spPr>
    </c:plotArea>
    <c:legend>
      <c:legendPos val="r"/>
      <c:layout>
        <c:manualLayout>
          <c:xMode val="edge"/>
          <c:yMode val="edge"/>
          <c:x val="0.44289245640707814"/>
          <c:y val="0.22785501232194702"/>
          <c:w val="0.54448355891665001"/>
          <c:h val="0.688781093719949"/>
        </c:manualLayout>
      </c:layout>
      <c:overlay val="0"/>
      <c:spPr>
        <a:noFill/>
        <a:ln w="25400">
          <a:noFill/>
        </a:ln>
        <a:effectLst/>
      </c:spPr>
      <c:txPr>
        <a:bodyPr rot="0" spcFirstLastPara="1" vertOverflow="ellipsis" vert="horz" wrap="square" anchor="ctr" anchorCtr="1"/>
        <a:lstStyle/>
        <a:p>
          <a:pPr>
            <a:defRPr sz="920" b="0" i="0" u="none" strike="noStrike" kern="1200" baseline="0">
              <a:solidFill>
                <a:srgbClr val="000000"/>
              </a:solidFill>
              <a:latin typeface="Tahoma" pitchFamily="34" charset="0"/>
              <a:ea typeface="Tahoma" pitchFamily="34" charset="0"/>
              <a:cs typeface="Tahoma" pitchFamily="34" charset="0"/>
            </a:defRPr>
          </a:pPr>
          <a:endParaRPr lang="fr-FR"/>
        </a:p>
      </c:txPr>
    </c:legend>
    <c:plotVisOnly val="1"/>
    <c:dispBlanksAs val="zero"/>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a:latin typeface="Tahoma" pitchFamily="34" charset="0"/>
                <a:ea typeface="Tahoma" pitchFamily="34" charset="0"/>
                <a:cs typeface="Tahoma" pitchFamily="34" charset="0"/>
              </a:rPr>
              <a:t>Emissions</a:t>
            </a:r>
            <a:r>
              <a:rPr lang="fr-FR" sz="1200" baseline="0">
                <a:latin typeface="Tahoma" pitchFamily="34" charset="0"/>
                <a:ea typeface="Tahoma" pitchFamily="34" charset="0"/>
                <a:cs typeface="Tahoma" pitchFamily="34" charset="0"/>
              </a:rPr>
              <a:t> annuelles logement (kg CO2e)</a:t>
            </a:r>
            <a:endParaRPr lang="fr-FR" sz="1200">
              <a:latin typeface="Tahoma" pitchFamily="34" charset="0"/>
              <a:ea typeface="Tahoma" pitchFamily="34" charset="0"/>
              <a:cs typeface="Tahoma" pitchFamily="34" charset="0"/>
            </a:endParaRPr>
          </a:p>
        </c:rich>
      </c:tx>
      <c:layout>
        <c:manualLayout>
          <c:xMode val="edge"/>
          <c:yMode val="edge"/>
          <c:x val="0.17647439168536286"/>
          <c:y val="0"/>
        </c:manualLayout>
      </c:layout>
      <c:overlay val="0"/>
    </c:title>
    <c:autoTitleDeleted val="0"/>
    <c:plotArea>
      <c:layout>
        <c:manualLayout>
          <c:layoutTarget val="inner"/>
          <c:xMode val="edge"/>
          <c:yMode val="edge"/>
          <c:x val="0.10860655737704973"/>
          <c:y val="0.17948717948718057"/>
          <c:w val="0.85860655737704961"/>
          <c:h val="0.6512820512820513"/>
        </c:manualLayout>
      </c:layout>
      <c:barChart>
        <c:barDir val="col"/>
        <c:grouping val="clustered"/>
        <c:varyColors val="0"/>
        <c:ser>
          <c:idx val="0"/>
          <c:order val="0"/>
          <c:spPr>
            <a:solidFill>
              <a:srgbClr val="F39912"/>
            </a:solidFill>
          </c:spPr>
          <c:invertIfNegative val="0"/>
          <c:cat>
            <c:strRef>
              <c:f>Résultats!$B$48:$B$53</c:f>
              <c:strCache>
                <c:ptCount val="6"/>
                <c:pt idx="0">
                  <c:v>Construction</c:v>
                </c:pt>
                <c:pt idx="1">
                  <c:v>Électricité</c:v>
                </c:pt>
                <c:pt idx="2">
                  <c:v>Gaz </c:v>
                </c:pt>
                <c:pt idx="3">
                  <c:v>Fioul</c:v>
                </c:pt>
                <c:pt idx="4">
                  <c:v>Propane</c:v>
                </c:pt>
                <c:pt idx="5">
                  <c:v>Bois </c:v>
                </c:pt>
              </c:strCache>
            </c:strRef>
          </c:cat>
          <c:val>
            <c:numRef>
              <c:f>Résultats!$D$48:$D$53</c:f>
              <c:numCache>
                <c:formatCode>_-* #\ ##0\ _€_-;\-* #\ ##0\ _€_-;_-* "-"??\ _€_-;_-@_-</c:formatCode>
                <c:ptCount val="6"/>
                <c:pt idx="0">
                  <c:v>0</c:v>
                </c:pt>
                <c:pt idx="1">
                  <c:v>0</c:v>
                </c:pt>
                <c:pt idx="2">
                  <c:v>0</c:v>
                </c:pt>
                <c:pt idx="3">
                  <c:v>0</c:v>
                </c:pt>
                <c:pt idx="4" formatCode="_(* #,##0.00_);_(* \(#,##0.00\);_(* &quot;-&quot;??_);_(@_)">
                  <c:v>0</c:v>
                </c:pt>
                <c:pt idx="5" formatCode="_(* #,##0.00_);_(* \(#,##0.00\);_(* &quot;-&quot;??_);_(@_)">
                  <c:v>0</c:v>
                </c:pt>
              </c:numCache>
            </c:numRef>
          </c:val>
          <c:extLst>
            <c:ext xmlns:c16="http://schemas.microsoft.com/office/drawing/2014/chart" uri="{C3380CC4-5D6E-409C-BE32-E72D297353CC}">
              <c16:uniqueId val="{00000000-2F2B-45C6-8A08-4805C0611352}"/>
            </c:ext>
          </c:extLst>
        </c:ser>
        <c:dLbls>
          <c:showLegendKey val="0"/>
          <c:showVal val="0"/>
          <c:showCatName val="0"/>
          <c:showSerName val="0"/>
          <c:showPercent val="0"/>
          <c:showBubbleSize val="0"/>
        </c:dLbls>
        <c:gapWidth val="150"/>
        <c:axId val="-891133104"/>
        <c:axId val="-891131472"/>
      </c:barChart>
      <c:catAx>
        <c:axId val="-891133104"/>
        <c:scaling>
          <c:orientation val="minMax"/>
        </c:scaling>
        <c:delete val="0"/>
        <c:axPos val="b"/>
        <c:numFmt formatCode="General" sourceLinked="1"/>
        <c:majorTickMark val="out"/>
        <c:minorTickMark val="none"/>
        <c:tickLblPos val="nextTo"/>
        <c:crossAx val="-891131472"/>
        <c:crosses val="autoZero"/>
        <c:auto val="1"/>
        <c:lblAlgn val="ctr"/>
        <c:lblOffset val="100"/>
        <c:noMultiLvlLbl val="0"/>
      </c:catAx>
      <c:valAx>
        <c:axId val="-891131472"/>
        <c:scaling>
          <c:orientation val="minMax"/>
        </c:scaling>
        <c:delete val="0"/>
        <c:axPos val="l"/>
        <c:majorGridlines/>
        <c:numFmt formatCode="_-* #\ ##0\ _€_-;\-* #\ ##0\ _€_-;_-* &quot;-&quot;??\ _€_-;_-@_-" sourceLinked="1"/>
        <c:majorTickMark val="out"/>
        <c:minorTickMark val="none"/>
        <c:tickLblPos val="nextTo"/>
        <c:crossAx val="-891133104"/>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r>
              <a:rPr lang="fr-FR" sz="1400">
                <a:latin typeface="Tahoma" pitchFamily="34" charset="0"/>
                <a:ea typeface="Tahoma" pitchFamily="34" charset="0"/>
                <a:cs typeface="Tahoma" pitchFamily="34" charset="0"/>
              </a:rPr>
              <a:t>Part des émissions de l'alimentation </a:t>
            </a:r>
          </a:p>
        </c:rich>
      </c:tx>
      <c:layout>
        <c:manualLayout>
          <c:xMode val="edge"/>
          <c:yMode val="edge"/>
          <c:x val="0.2"/>
          <c:y val="4.3478241690376895E-2"/>
        </c:manualLayout>
      </c:layout>
      <c:overlay val="0"/>
      <c:spPr>
        <a:noFill/>
        <a:ln w="25400">
          <a:noFill/>
        </a:ln>
        <a:effectLst/>
      </c:spPr>
      <c:txPr>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endParaRPr lang="fr-FR"/>
        </a:p>
      </c:txPr>
    </c:title>
    <c:autoTitleDeleted val="0"/>
    <c:plotArea>
      <c:layout>
        <c:manualLayout>
          <c:layoutTarget val="inner"/>
          <c:xMode val="edge"/>
          <c:yMode val="edge"/>
          <c:x val="0.10927835051546392"/>
          <c:y val="0.25205187586845917"/>
          <c:w val="0.34226804123711341"/>
          <c:h val="0.69747899159663851"/>
        </c:manualLayout>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776B-4A3B-9A8F-FBEA63723515}"/>
              </c:ext>
            </c:extLst>
          </c:dPt>
          <c:dPt>
            <c:idx val="1"/>
            <c:bubble3D val="0"/>
            <c:spPr>
              <a:solidFill>
                <a:schemeClr val="accent2"/>
              </a:solidFill>
              <a:ln>
                <a:noFill/>
              </a:ln>
              <a:effectLst/>
            </c:spPr>
            <c:extLst>
              <c:ext xmlns:c16="http://schemas.microsoft.com/office/drawing/2014/chart" uri="{C3380CC4-5D6E-409C-BE32-E72D297353CC}">
                <c16:uniqueId val="{00000003-776B-4A3B-9A8F-FBEA63723515}"/>
              </c:ext>
            </c:extLst>
          </c:dPt>
          <c:dPt>
            <c:idx val="2"/>
            <c:bubble3D val="0"/>
            <c:spPr>
              <a:solidFill>
                <a:schemeClr val="accent3"/>
              </a:solidFill>
              <a:ln>
                <a:noFill/>
              </a:ln>
              <a:effectLst/>
            </c:spPr>
            <c:extLst>
              <c:ext xmlns:c16="http://schemas.microsoft.com/office/drawing/2014/chart" uri="{C3380CC4-5D6E-409C-BE32-E72D297353CC}">
                <c16:uniqueId val="{00000005-776B-4A3B-9A8F-FBEA63723515}"/>
              </c:ext>
            </c:extLst>
          </c:dPt>
          <c:dPt>
            <c:idx val="3"/>
            <c:bubble3D val="0"/>
            <c:spPr>
              <a:solidFill>
                <a:schemeClr val="accent4"/>
              </a:solidFill>
              <a:ln>
                <a:noFill/>
              </a:ln>
              <a:effectLst/>
            </c:spPr>
            <c:extLst>
              <c:ext xmlns:c16="http://schemas.microsoft.com/office/drawing/2014/chart" uri="{C3380CC4-5D6E-409C-BE32-E72D297353CC}">
                <c16:uniqueId val="{00000007-776B-4A3B-9A8F-FBEA63723515}"/>
              </c:ext>
            </c:extLst>
          </c:dPt>
          <c:dPt>
            <c:idx val="4"/>
            <c:bubble3D val="0"/>
            <c:spPr>
              <a:solidFill>
                <a:schemeClr val="accent5"/>
              </a:solidFill>
              <a:ln>
                <a:noFill/>
              </a:ln>
              <a:effectLst/>
            </c:spPr>
            <c:extLst>
              <c:ext xmlns:c16="http://schemas.microsoft.com/office/drawing/2014/chart" uri="{C3380CC4-5D6E-409C-BE32-E72D297353CC}">
                <c16:uniqueId val="{00000009-776B-4A3B-9A8F-FBEA63723515}"/>
              </c:ext>
            </c:extLst>
          </c:dPt>
          <c:dLbls>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(Résultats!$B$111:$B$113,Résultats!$B$115,Résultats!$B$117)</c:f>
              <c:strCache>
                <c:ptCount val="5"/>
                <c:pt idx="0">
                  <c:v>Repas végétariens</c:v>
                </c:pt>
                <c:pt idx="1">
                  <c:v>Repas à base viande rouge</c:v>
                </c:pt>
                <c:pt idx="2">
                  <c:v>Repas à base viande blanche</c:v>
                </c:pt>
                <c:pt idx="3">
                  <c:v>Boissons</c:v>
                </c:pt>
                <c:pt idx="4">
                  <c:v>Déchets</c:v>
                </c:pt>
              </c:strCache>
            </c:strRef>
          </c:cat>
          <c:val>
            <c:numRef>
              <c:f>(Résultats!$D$111:$D$113,Résultats!$D$115,Résultats!$D$117)</c:f>
              <c:numCache>
                <c:formatCode>_-* #\ ##0\ _€_-;\-* #\ ##0\ _€_-;_-* "-"??\ _€_-;_-@_-</c:formatCode>
                <c:ptCount val="5"/>
                <c:pt idx="0">
                  <c:v>0</c:v>
                </c:pt>
                <c:pt idx="1">
                  <c:v>0</c:v>
                </c:pt>
                <c:pt idx="2">
                  <c:v>0</c:v>
                </c:pt>
                <c:pt idx="3">
                  <c:v>0</c:v>
                </c:pt>
                <c:pt idx="4" formatCode="_(* #,##0.00_);_(* \(#,##0.00\);_(* &quot;-&quot;??_);_(@_)">
                  <c:v>200</c:v>
                </c:pt>
              </c:numCache>
            </c:numRef>
          </c:val>
          <c:extLst>
            <c:ext xmlns:c16="http://schemas.microsoft.com/office/drawing/2014/chart" uri="{C3380CC4-5D6E-409C-BE32-E72D297353CC}">
              <c16:uniqueId val="{0000000A-776B-4A3B-9A8F-FBEA63723515}"/>
            </c:ext>
          </c:extLst>
        </c:ser>
        <c:dLbls>
          <c:showLegendKey val="0"/>
          <c:showVal val="0"/>
          <c:showCatName val="0"/>
          <c:showSerName val="0"/>
          <c:showPercent val="0"/>
          <c:showBubbleSize val="0"/>
          <c:showLeaderLines val="0"/>
        </c:dLbls>
        <c:firstSliceAng val="0"/>
      </c:pieChart>
      <c:spPr>
        <a:noFill/>
        <a:ln w="25400">
          <a:noFill/>
        </a:ln>
        <a:effectLst/>
      </c:spPr>
    </c:plotArea>
    <c:legend>
      <c:legendPos val="r"/>
      <c:layout>
        <c:manualLayout>
          <c:xMode val="edge"/>
          <c:yMode val="edge"/>
          <c:x val="0.57731958762886593"/>
          <c:y val="0.23301660821809039"/>
          <c:w val="0.3278350515463917"/>
          <c:h val="0.69014755508502601"/>
        </c:manualLayout>
      </c:layout>
      <c:overlay val="0"/>
      <c:spPr>
        <a:noFill/>
        <a:ln w="25400">
          <a:noFill/>
        </a:ln>
        <a:effectLst/>
      </c:spPr>
      <c:txPr>
        <a:bodyPr rot="0" spcFirstLastPara="1" vertOverflow="ellipsis" vert="horz" wrap="square" anchor="ctr" anchorCtr="1"/>
        <a:lstStyle/>
        <a:p>
          <a:pPr rtl="0">
            <a:defRPr sz="920" b="0" i="0" u="none" strike="noStrike" kern="1200" baseline="0">
              <a:solidFill>
                <a:srgbClr val="000000"/>
              </a:solidFill>
              <a:latin typeface="Calibri"/>
              <a:ea typeface="Calibri"/>
              <a:cs typeface="Calibri"/>
            </a:defRPr>
          </a:pPr>
          <a:endParaRPr lang="fr-FR"/>
        </a:p>
      </c:txPr>
    </c:legend>
    <c:plotVisOnly val="1"/>
    <c:dispBlanksAs val="zero"/>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Résultats!$B$26</c:f>
              <c:strCache>
                <c:ptCount val="1"/>
                <c:pt idx="0">
                  <c:v>Votre bilan</c:v>
                </c:pt>
              </c:strCache>
            </c:strRef>
          </c:tx>
          <c:spPr>
            <a:solidFill>
              <a:srgbClr val="F39912"/>
            </a:solidFill>
            <a:ln>
              <a:noFill/>
            </a:ln>
            <a:effectLst/>
          </c:spPr>
          <c:invertIfNegative val="0"/>
          <c:cat>
            <c:strRef>
              <c:f>Résultats!$A$29:$A$34</c:f>
              <c:strCache>
                <c:ptCount val="6"/>
                <c:pt idx="0">
                  <c:v>Logement</c:v>
                </c:pt>
                <c:pt idx="1">
                  <c:v>Transports</c:v>
                </c:pt>
                <c:pt idx="2">
                  <c:v>Alimentation</c:v>
                </c:pt>
                <c:pt idx="3">
                  <c:v>Bien et services</c:v>
                </c:pt>
                <c:pt idx="4">
                  <c:v>Finances</c:v>
                </c:pt>
                <c:pt idx="5">
                  <c:v>Services publics</c:v>
                </c:pt>
              </c:strCache>
            </c:strRef>
          </c:cat>
          <c:val>
            <c:numRef>
              <c:f>Résultats!$B$29:$B$34</c:f>
              <c:numCache>
                <c:formatCode>_-* #\ ##0_-;\-* #\ ##0_-;_-* "-"??_-;_-@_-</c:formatCode>
                <c:ptCount val="6"/>
                <c:pt idx="0">
                  <c:v>0</c:v>
                </c:pt>
                <c:pt idx="1">
                  <c:v>67.2</c:v>
                </c:pt>
                <c:pt idx="2">
                  <c:v>200</c:v>
                </c:pt>
                <c:pt idx="3">
                  <c:v>0</c:v>
                </c:pt>
                <c:pt idx="4">
                  <c:v>0</c:v>
                </c:pt>
                <c:pt idx="5">
                  <c:v>1300</c:v>
                </c:pt>
              </c:numCache>
            </c:numRef>
          </c:val>
          <c:extLst>
            <c:ext xmlns:c16="http://schemas.microsoft.com/office/drawing/2014/chart" uri="{C3380CC4-5D6E-409C-BE32-E72D297353CC}">
              <c16:uniqueId val="{00000000-7A0A-4560-870F-B5D913786ABE}"/>
            </c:ext>
          </c:extLst>
        </c:ser>
        <c:ser>
          <c:idx val="1"/>
          <c:order val="1"/>
          <c:tx>
            <c:strRef>
              <c:f>Résultats!$C$26</c:f>
              <c:strCache>
                <c:ptCount val="1"/>
              </c:strCache>
            </c:strRef>
          </c:tx>
          <c:spPr>
            <a:solidFill>
              <a:schemeClr val="accent2"/>
            </a:solidFill>
            <a:ln>
              <a:noFill/>
            </a:ln>
            <a:effectLst/>
          </c:spPr>
          <c:invertIfNegative val="0"/>
          <c:cat>
            <c:strRef>
              <c:f>Résultats!$A$29:$A$34</c:f>
              <c:strCache>
                <c:ptCount val="6"/>
                <c:pt idx="0">
                  <c:v>Logement</c:v>
                </c:pt>
                <c:pt idx="1">
                  <c:v>Transports</c:v>
                </c:pt>
                <c:pt idx="2">
                  <c:v>Alimentation</c:v>
                </c:pt>
                <c:pt idx="3">
                  <c:v>Bien et services</c:v>
                </c:pt>
                <c:pt idx="4">
                  <c:v>Finances</c:v>
                </c:pt>
                <c:pt idx="5">
                  <c:v>Services publics</c:v>
                </c:pt>
              </c:strCache>
            </c:strRef>
          </c:cat>
          <c:val>
            <c:numRef>
              <c:f>Résultats!$C$29:$C$34</c:f>
            </c:numRef>
          </c:val>
          <c:extLst>
            <c:ext xmlns:c16="http://schemas.microsoft.com/office/drawing/2014/chart" uri="{C3380CC4-5D6E-409C-BE32-E72D297353CC}">
              <c16:uniqueId val="{00000001-7A0A-4560-870F-B5D913786ABE}"/>
            </c:ext>
          </c:extLst>
        </c:ser>
        <c:ser>
          <c:idx val="2"/>
          <c:order val="2"/>
          <c:tx>
            <c:strRef>
              <c:f>Résultats!$D$26</c:f>
              <c:strCache>
                <c:ptCount val="1"/>
                <c:pt idx="0">
                  <c:v>Moyenne française</c:v>
                </c:pt>
              </c:strCache>
            </c:strRef>
          </c:tx>
          <c:spPr>
            <a:solidFill>
              <a:srgbClr val="096377"/>
            </a:solidFill>
            <a:ln>
              <a:noFill/>
            </a:ln>
            <a:effectLst/>
          </c:spPr>
          <c:invertIfNegative val="0"/>
          <c:cat>
            <c:strRef>
              <c:f>Résultats!$A$29:$A$34</c:f>
              <c:strCache>
                <c:ptCount val="6"/>
                <c:pt idx="0">
                  <c:v>Logement</c:v>
                </c:pt>
                <c:pt idx="1">
                  <c:v>Transports</c:v>
                </c:pt>
                <c:pt idx="2">
                  <c:v>Alimentation</c:v>
                </c:pt>
                <c:pt idx="3">
                  <c:v>Bien et services</c:v>
                </c:pt>
                <c:pt idx="4">
                  <c:v>Finances</c:v>
                </c:pt>
                <c:pt idx="5">
                  <c:v>Services publics</c:v>
                </c:pt>
              </c:strCache>
            </c:strRef>
          </c:cat>
          <c:val>
            <c:numRef>
              <c:f>Résultats!$D$29:$D$34</c:f>
              <c:numCache>
                <c:formatCode>_-* #\ ##0_-;\-* #\ ##0_-;_-* "-"??_-;_-@_-</c:formatCode>
                <c:ptCount val="6"/>
                <c:pt idx="0">
                  <c:v>2579</c:v>
                </c:pt>
                <c:pt idx="1">
                  <c:v>3165</c:v>
                </c:pt>
                <c:pt idx="2">
                  <c:v>1789</c:v>
                </c:pt>
                <c:pt idx="3">
                  <c:v>2158</c:v>
                </c:pt>
                <c:pt idx="4">
                  <c:v>500</c:v>
                </c:pt>
                <c:pt idx="5">
                  <c:v>1113</c:v>
                </c:pt>
              </c:numCache>
            </c:numRef>
          </c:val>
          <c:extLst>
            <c:ext xmlns:c16="http://schemas.microsoft.com/office/drawing/2014/chart" uri="{C3380CC4-5D6E-409C-BE32-E72D297353CC}">
              <c16:uniqueId val="{00000002-7A0A-4560-870F-B5D913786ABE}"/>
            </c:ext>
          </c:extLst>
        </c:ser>
        <c:dLbls>
          <c:showLegendKey val="0"/>
          <c:showVal val="0"/>
          <c:showCatName val="0"/>
          <c:showSerName val="0"/>
          <c:showPercent val="0"/>
          <c:showBubbleSize val="0"/>
        </c:dLbls>
        <c:gapWidth val="219"/>
        <c:overlap val="-27"/>
        <c:axId val="578567152"/>
        <c:axId val="578568136"/>
      </c:barChart>
      <c:catAx>
        <c:axId val="57856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8568136"/>
        <c:crosses val="autoZero"/>
        <c:auto val="1"/>
        <c:lblAlgn val="ctr"/>
        <c:lblOffset val="100"/>
        <c:noMultiLvlLbl val="0"/>
      </c:catAx>
      <c:valAx>
        <c:axId val="578568136"/>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8567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78363330199375"/>
          <c:y val="2.926470320905521E-2"/>
          <c:w val="0.79320420617725806"/>
          <c:h val="0.85308043645629283"/>
        </c:manualLayout>
      </c:layout>
      <c:barChart>
        <c:barDir val="col"/>
        <c:grouping val="clustered"/>
        <c:varyColors val="0"/>
        <c:ser>
          <c:idx val="0"/>
          <c:order val="0"/>
          <c:spPr>
            <a:solidFill>
              <a:schemeClr val="accent1"/>
            </a:solidFill>
            <a:ln>
              <a:noFill/>
            </a:ln>
            <a:effectLst/>
          </c:spPr>
          <c:invertIfNegative val="0"/>
          <c:cat>
            <c:strRef>
              <c:f>Résultats!$B$9:$B$11</c:f>
              <c:strCache>
                <c:ptCount val="3"/>
                <c:pt idx="0">
                  <c:v>Votre total</c:v>
                </c:pt>
                <c:pt idx="1">
                  <c:v>Moyenne française</c:v>
                </c:pt>
                <c:pt idx="2">
                  <c:v>Objectif 2050</c:v>
                </c:pt>
              </c:strCache>
            </c:strRef>
          </c:cat>
          <c:val>
            <c:numRef>
              <c:f>Résultats!$C$9:$C$11</c:f>
            </c:numRef>
          </c:val>
          <c:extLst>
            <c:ext xmlns:c16="http://schemas.microsoft.com/office/drawing/2014/chart" uri="{C3380CC4-5D6E-409C-BE32-E72D297353CC}">
              <c16:uniqueId val="{00000000-BCE1-41C9-8987-DDF58E1D7D01}"/>
            </c:ext>
          </c:extLst>
        </c:ser>
        <c:ser>
          <c:idx val="1"/>
          <c:order val="1"/>
          <c:spPr>
            <a:solidFill>
              <a:schemeClr val="accent2"/>
            </a:solidFill>
            <a:ln>
              <a:noFill/>
            </a:ln>
            <a:effectLst/>
          </c:spPr>
          <c:invertIfNegative val="0"/>
          <c:dPt>
            <c:idx val="0"/>
            <c:invertIfNegative val="0"/>
            <c:bubble3D val="0"/>
            <c:spPr>
              <a:solidFill>
                <a:srgbClr val="F39912"/>
              </a:solidFill>
              <a:ln>
                <a:noFill/>
              </a:ln>
              <a:effectLst/>
            </c:spPr>
            <c:extLst>
              <c:ext xmlns:c16="http://schemas.microsoft.com/office/drawing/2014/chart" uri="{C3380CC4-5D6E-409C-BE32-E72D297353CC}">
                <c16:uniqueId val="{00000002-BCE1-41C9-8987-DDF58E1D7D01}"/>
              </c:ext>
            </c:extLst>
          </c:dPt>
          <c:dPt>
            <c:idx val="1"/>
            <c:invertIfNegative val="0"/>
            <c:bubble3D val="0"/>
            <c:spPr>
              <a:solidFill>
                <a:srgbClr val="096377"/>
              </a:solidFill>
              <a:ln>
                <a:noFill/>
              </a:ln>
              <a:effectLst/>
            </c:spPr>
            <c:extLst>
              <c:ext xmlns:c16="http://schemas.microsoft.com/office/drawing/2014/chart" uri="{C3380CC4-5D6E-409C-BE32-E72D297353CC}">
                <c16:uniqueId val="{00000003-BCE1-41C9-8987-DDF58E1D7D01}"/>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4-BCE1-41C9-8987-DDF58E1D7D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Résultats!$B$9:$B$11</c:f>
              <c:strCache>
                <c:ptCount val="3"/>
                <c:pt idx="0">
                  <c:v>Votre total</c:v>
                </c:pt>
                <c:pt idx="1">
                  <c:v>Moyenne française</c:v>
                </c:pt>
                <c:pt idx="2">
                  <c:v>Objectif 2050</c:v>
                </c:pt>
              </c:strCache>
            </c:strRef>
          </c:cat>
          <c:val>
            <c:numRef>
              <c:f>Résultats!$D$9:$D$11</c:f>
              <c:numCache>
                <c:formatCode>0</c:formatCode>
                <c:ptCount val="3"/>
                <c:pt idx="0">
                  <c:v>1567.2</c:v>
                </c:pt>
                <c:pt idx="1">
                  <c:v>11304</c:v>
                </c:pt>
                <c:pt idx="2">
                  <c:v>1800</c:v>
                </c:pt>
              </c:numCache>
            </c:numRef>
          </c:val>
          <c:extLst>
            <c:ext xmlns:c16="http://schemas.microsoft.com/office/drawing/2014/chart" uri="{C3380CC4-5D6E-409C-BE32-E72D297353CC}">
              <c16:uniqueId val="{00000001-BCE1-41C9-8987-DDF58E1D7D01}"/>
            </c:ext>
          </c:extLst>
        </c:ser>
        <c:dLbls>
          <c:showLegendKey val="0"/>
          <c:showVal val="0"/>
          <c:showCatName val="0"/>
          <c:showSerName val="0"/>
          <c:showPercent val="0"/>
          <c:showBubbleSize val="0"/>
        </c:dLbls>
        <c:gapWidth val="219"/>
        <c:overlap val="-27"/>
        <c:axId val="398656360"/>
        <c:axId val="398662592"/>
      </c:barChart>
      <c:catAx>
        <c:axId val="398656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8662592"/>
        <c:crosses val="autoZero"/>
        <c:auto val="1"/>
        <c:lblAlgn val="ctr"/>
        <c:lblOffset val="100"/>
        <c:noMultiLvlLbl val="0"/>
      </c:catAx>
      <c:valAx>
        <c:axId val="398662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8656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Résultats!$B$48</c:f>
              <c:strCache>
                <c:ptCount val="1"/>
                <c:pt idx="0">
                  <c:v>Construction</c:v>
                </c:pt>
              </c:strCache>
            </c:strRef>
          </c:tx>
          <c:spPr>
            <a:solidFill>
              <a:schemeClr val="tx1">
                <a:lumMod val="65000"/>
                <a:lumOff val="35000"/>
              </a:schemeClr>
            </a:solidFill>
            <a:ln>
              <a:noFill/>
            </a:ln>
            <a:effectLst/>
          </c:spPr>
          <c:invertIfNegative val="0"/>
          <c:cat>
            <c:strLit>
              <c:ptCount val="1"/>
              <c:pt idx="0">
                <c:v>Logement</c:v>
              </c:pt>
            </c:strLit>
          </c:cat>
          <c:val>
            <c:numRef>
              <c:f>Résultats!$C$48:$D$48</c:f>
              <c:numCache>
                <c:formatCode>_-* #\ ##0\ _€_-;\-* #\ ##0\ _€_-;_-* "-"??\ _€_-;_-@_-</c:formatCode>
                <c:ptCount val="1"/>
                <c:pt idx="0">
                  <c:v>0</c:v>
                </c:pt>
              </c:numCache>
            </c:numRef>
          </c:val>
          <c:extLst>
            <c:ext xmlns:c16="http://schemas.microsoft.com/office/drawing/2014/chart" uri="{C3380CC4-5D6E-409C-BE32-E72D297353CC}">
              <c16:uniqueId val="{00000000-E660-4B04-89C9-BC9FA9C55A82}"/>
            </c:ext>
          </c:extLst>
        </c:ser>
        <c:ser>
          <c:idx val="1"/>
          <c:order val="1"/>
          <c:tx>
            <c:strRef>
              <c:f>Résultats!$B$49</c:f>
              <c:strCache>
                <c:ptCount val="1"/>
                <c:pt idx="0">
                  <c:v>Électricité</c:v>
                </c:pt>
              </c:strCache>
            </c:strRef>
          </c:tx>
          <c:spPr>
            <a:solidFill>
              <a:schemeClr val="accent2">
                <a:lumMod val="60000"/>
                <a:lumOff val="40000"/>
              </a:schemeClr>
            </a:solidFill>
            <a:ln>
              <a:noFill/>
            </a:ln>
            <a:effectLst/>
          </c:spPr>
          <c:invertIfNegative val="0"/>
          <c:cat>
            <c:strLit>
              <c:ptCount val="1"/>
              <c:pt idx="0">
                <c:v>Logement</c:v>
              </c:pt>
            </c:strLit>
          </c:cat>
          <c:val>
            <c:numRef>
              <c:f>Résultats!$C$49:$D$49</c:f>
              <c:numCache>
                <c:formatCode>_-* #\ ##0\ _€_-;\-* #\ ##0\ _€_-;_-* "-"??\ _€_-;_-@_-</c:formatCode>
                <c:ptCount val="1"/>
                <c:pt idx="0">
                  <c:v>0</c:v>
                </c:pt>
              </c:numCache>
            </c:numRef>
          </c:val>
          <c:extLst>
            <c:ext xmlns:c16="http://schemas.microsoft.com/office/drawing/2014/chart" uri="{C3380CC4-5D6E-409C-BE32-E72D297353CC}">
              <c16:uniqueId val="{00000001-E660-4B04-89C9-BC9FA9C55A82}"/>
            </c:ext>
          </c:extLst>
        </c:ser>
        <c:ser>
          <c:idx val="2"/>
          <c:order val="2"/>
          <c:tx>
            <c:strRef>
              <c:f>Résultats!$B$50</c:f>
              <c:strCache>
                <c:ptCount val="1"/>
                <c:pt idx="0">
                  <c:v>Gaz </c:v>
                </c:pt>
              </c:strCache>
            </c:strRef>
          </c:tx>
          <c:spPr>
            <a:solidFill>
              <a:schemeClr val="accent1"/>
            </a:solidFill>
            <a:ln>
              <a:noFill/>
            </a:ln>
            <a:effectLst/>
          </c:spPr>
          <c:invertIfNegative val="0"/>
          <c:cat>
            <c:strLit>
              <c:ptCount val="1"/>
              <c:pt idx="0">
                <c:v>Logement</c:v>
              </c:pt>
            </c:strLit>
          </c:cat>
          <c:val>
            <c:numRef>
              <c:f>Résultats!$C$50:$D$50</c:f>
              <c:numCache>
                <c:formatCode>_-* #\ ##0\ _€_-;\-* #\ ##0\ _€_-;_-* "-"??\ _€_-;_-@_-</c:formatCode>
                <c:ptCount val="1"/>
                <c:pt idx="0">
                  <c:v>0</c:v>
                </c:pt>
              </c:numCache>
            </c:numRef>
          </c:val>
          <c:extLst>
            <c:ext xmlns:c16="http://schemas.microsoft.com/office/drawing/2014/chart" uri="{C3380CC4-5D6E-409C-BE32-E72D297353CC}">
              <c16:uniqueId val="{00000002-E660-4B04-89C9-BC9FA9C55A82}"/>
            </c:ext>
          </c:extLst>
        </c:ser>
        <c:ser>
          <c:idx val="3"/>
          <c:order val="3"/>
          <c:tx>
            <c:strRef>
              <c:f>Résultats!$B$51</c:f>
              <c:strCache>
                <c:ptCount val="1"/>
                <c:pt idx="0">
                  <c:v>Fioul</c:v>
                </c:pt>
              </c:strCache>
            </c:strRef>
          </c:tx>
          <c:spPr>
            <a:solidFill>
              <a:schemeClr val="tx1"/>
            </a:solidFill>
            <a:ln>
              <a:noFill/>
            </a:ln>
            <a:effectLst/>
          </c:spPr>
          <c:invertIfNegative val="0"/>
          <c:cat>
            <c:strLit>
              <c:ptCount val="1"/>
              <c:pt idx="0">
                <c:v>Logement</c:v>
              </c:pt>
            </c:strLit>
          </c:cat>
          <c:val>
            <c:numRef>
              <c:f>Résultats!$C$51:$D$51</c:f>
              <c:numCache>
                <c:formatCode>_-* #\ ##0\ _€_-;\-* #\ ##0\ _€_-;_-* "-"??\ _€_-;_-@_-</c:formatCode>
                <c:ptCount val="1"/>
                <c:pt idx="0">
                  <c:v>0</c:v>
                </c:pt>
              </c:numCache>
            </c:numRef>
          </c:val>
          <c:extLst>
            <c:ext xmlns:c16="http://schemas.microsoft.com/office/drawing/2014/chart" uri="{C3380CC4-5D6E-409C-BE32-E72D297353CC}">
              <c16:uniqueId val="{00000003-E660-4B04-89C9-BC9FA9C55A82}"/>
            </c:ext>
          </c:extLst>
        </c:ser>
        <c:ser>
          <c:idx val="4"/>
          <c:order val="4"/>
          <c:tx>
            <c:strRef>
              <c:f>Résultats!$B$52</c:f>
              <c:strCache>
                <c:ptCount val="1"/>
                <c:pt idx="0">
                  <c:v>Propane</c:v>
                </c:pt>
              </c:strCache>
            </c:strRef>
          </c:tx>
          <c:spPr>
            <a:solidFill>
              <a:schemeClr val="accent5"/>
            </a:solidFill>
            <a:ln>
              <a:noFill/>
            </a:ln>
            <a:effectLst/>
          </c:spPr>
          <c:invertIfNegative val="0"/>
          <c:cat>
            <c:strLit>
              <c:ptCount val="1"/>
              <c:pt idx="0">
                <c:v>Logement</c:v>
              </c:pt>
            </c:strLit>
          </c:cat>
          <c:val>
            <c:numRef>
              <c:f>Résultats!$C$52:$D$52</c:f>
              <c:numCache>
                <c:formatCode>_(* #,##0.00_);_(* \(#,##0.00\);_(* "-"??_);_(@_)</c:formatCode>
                <c:ptCount val="1"/>
                <c:pt idx="0">
                  <c:v>0</c:v>
                </c:pt>
              </c:numCache>
            </c:numRef>
          </c:val>
          <c:extLst>
            <c:ext xmlns:c16="http://schemas.microsoft.com/office/drawing/2014/chart" uri="{C3380CC4-5D6E-409C-BE32-E72D297353CC}">
              <c16:uniqueId val="{00000004-E660-4B04-89C9-BC9FA9C55A82}"/>
            </c:ext>
          </c:extLst>
        </c:ser>
        <c:ser>
          <c:idx val="5"/>
          <c:order val="5"/>
          <c:tx>
            <c:strRef>
              <c:f>Résultats!$B$53</c:f>
              <c:strCache>
                <c:ptCount val="1"/>
                <c:pt idx="0">
                  <c:v>Bois </c:v>
                </c:pt>
              </c:strCache>
            </c:strRef>
          </c:tx>
          <c:spPr>
            <a:solidFill>
              <a:schemeClr val="accent4"/>
            </a:solidFill>
            <a:ln>
              <a:noFill/>
            </a:ln>
            <a:effectLst/>
          </c:spPr>
          <c:invertIfNegative val="0"/>
          <c:cat>
            <c:strLit>
              <c:ptCount val="1"/>
              <c:pt idx="0">
                <c:v>Logement</c:v>
              </c:pt>
            </c:strLit>
          </c:cat>
          <c:val>
            <c:numRef>
              <c:f>Résultats!$C$53:$D$53</c:f>
              <c:numCache>
                <c:formatCode>_(* #,##0.00_);_(* \(#,##0.00\);_(* "-"??_);_(@_)</c:formatCode>
                <c:ptCount val="1"/>
                <c:pt idx="0">
                  <c:v>0</c:v>
                </c:pt>
              </c:numCache>
            </c:numRef>
          </c:val>
          <c:extLst>
            <c:ext xmlns:c16="http://schemas.microsoft.com/office/drawing/2014/chart" uri="{C3380CC4-5D6E-409C-BE32-E72D297353CC}">
              <c16:uniqueId val="{00000005-E660-4B04-89C9-BC9FA9C55A82}"/>
            </c:ext>
          </c:extLst>
        </c:ser>
        <c:dLbls>
          <c:showLegendKey val="0"/>
          <c:showVal val="0"/>
          <c:showCatName val="0"/>
          <c:showSerName val="0"/>
          <c:showPercent val="0"/>
          <c:showBubbleSize val="0"/>
        </c:dLbls>
        <c:gapWidth val="150"/>
        <c:overlap val="100"/>
        <c:axId val="409721616"/>
        <c:axId val="409722272"/>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Résultats!$B$83</c:f>
              <c:strCache>
                <c:ptCount val="1"/>
                <c:pt idx="0">
                  <c:v>Voiture ess/gazoil</c:v>
                </c:pt>
              </c:strCache>
            </c:strRef>
          </c:tx>
          <c:spPr>
            <a:solidFill>
              <a:schemeClr val="tx1">
                <a:lumMod val="65000"/>
                <a:lumOff val="35000"/>
              </a:schemeClr>
            </a:solidFill>
            <a:ln>
              <a:noFill/>
            </a:ln>
            <a:effectLst/>
          </c:spPr>
          <c:invertIfNegative val="0"/>
          <c:cat>
            <c:strLit>
              <c:ptCount val="1"/>
              <c:pt idx="0">
                <c:v>Transports</c:v>
              </c:pt>
            </c:strLit>
          </c:cat>
          <c:val>
            <c:numRef>
              <c:f>Résultats!$C$83:$D$83</c:f>
              <c:numCache>
                <c:formatCode>_-* #\ ##0\ _€_-;\-* #\ ##0\ _€_-;_-* "-"??\ _€_-;_-@_-</c:formatCode>
                <c:ptCount val="1"/>
                <c:pt idx="0">
                  <c:v>0</c:v>
                </c:pt>
              </c:numCache>
            </c:numRef>
          </c:val>
          <c:extLst>
            <c:ext xmlns:c16="http://schemas.microsoft.com/office/drawing/2014/chart" uri="{C3380CC4-5D6E-409C-BE32-E72D297353CC}">
              <c16:uniqueId val="{00000000-0488-4FD8-8996-218C947DDA64}"/>
            </c:ext>
          </c:extLst>
        </c:ser>
        <c:ser>
          <c:idx val="1"/>
          <c:order val="1"/>
          <c:tx>
            <c:strRef>
              <c:f>Résultats!$B$84</c:f>
              <c:strCache>
                <c:ptCount val="1"/>
                <c:pt idx="0">
                  <c:v>Voiture gaz (GPL)</c:v>
                </c:pt>
              </c:strCache>
            </c:strRef>
          </c:tx>
          <c:spPr>
            <a:solidFill>
              <a:schemeClr val="tx1">
                <a:lumMod val="50000"/>
                <a:lumOff val="50000"/>
              </a:schemeClr>
            </a:solidFill>
            <a:ln>
              <a:noFill/>
            </a:ln>
            <a:effectLst/>
          </c:spPr>
          <c:invertIfNegative val="0"/>
          <c:cat>
            <c:strLit>
              <c:ptCount val="1"/>
              <c:pt idx="0">
                <c:v>Transports</c:v>
              </c:pt>
            </c:strLit>
          </c:cat>
          <c:val>
            <c:numRef>
              <c:f>Résultats!$C$84:$D$84</c:f>
              <c:numCache>
                <c:formatCode>_-* #\ ##0\ _€_-;\-* #\ ##0\ _€_-;_-* "-"??\ _€_-;_-@_-</c:formatCode>
                <c:ptCount val="1"/>
                <c:pt idx="0">
                  <c:v>0</c:v>
                </c:pt>
              </c:numCache>
            </c:numRef>
          </c:val>
          <c:extLst>
            <c:ext xmlns:c16="http://schemas.microsoft.com/office/drawing/2014/chart" uri="{C3380CC4-5D6E-409C-BE32-E72D297353CC}">
              <c16:uniqueId val="{00000001-0488-4FD8-8996-218C947DDA64}"/>
            </c:ext>
          </c:extLst>
        </c:ser>
        <c:ser>
          <c:idx val="2"/>
          <c:order val="2"/>
          <c:tx>
            <c:strRef>
              <c:f>Résultats!$B$85</c:f>
              <c:strCache>
                <c:ptCount val="1"/>
                <c:pt idx="0">
                  <c:v>Voiture électrique</c:v>
                </c:pt>
              </c:strCache>
            </c:strRef>
          </c:tx>
          <c:spPr>
            <a:solidFill>
              <a:schemeClr val="accent2">
                <a:lumMod val="40000"/>
                <a:lumOff val="60000"/>
              </a:schemeClr>
            </a:solidFill>
            <a:ln>
              <a:noFill/>
            </a:ln>
            <a:effectLst/>
          </c:spPr>
          <c:invertIfNegative val="0"/>
          <c:cat>
            <c:strLit>
              <c:ptCount val="1"/>
              <c:pt idx="0">
                <c:v>Transports</c:v>
              </c:pt>
            </c:strLit>
          </c:cat>
          <c:val>
            <c:numRef>
              <c:f>Résultats!$C$85:$D$85</c:f>
              <c:numCache>
                <c:formatCode>_-* #\ ##0\ _€_-;\-* #\ ##0\ _€_-;_-* "-"??\ _€_-;_-@_-</c:formatCode>
                <c:ptCount val="1"/>
                <c:pt idx="0">
                  <c:v>0</c:v>
                </c:pt>
              </c:numCache>
            </c:numRef>
          </c:val>
          <c:extLst>
            <c:ext xmlns:c16="http://schemas.microsoft.com/office/drawing/2014/chart" uri="{C3380CC4-5D6E-409C-BE32-E72D297353CC}">
              <c16:uniqueId val="{00000002-0488-4FD8-8996-218C947DDA64}"/>
            </c:ext>
          </c:extLst>
        </c:ser>
        <c:ser>
          <c:idx val="3"/>
          <c:order val="3"/>
          <c:tx>
            <c:strRef>
              <c:f>Résultats!$B$86</c:f>
              <c:strCache>
                <c:ptCount val="1"/>
                <c:pt idx="0">
                  <c:v>Moto/Scooter/Mobilette</c:v>
                </c:pt>
              </c:strCache>
            </c:strRef>
          </c:tx>
          <c:spPr>
            <a:solidFill>
              <a:schemeClr val="accent1"/>
            </a:solidFill>
            <a:ln>
              <a:noFill/>
            </a:ln>
            <a:effectLst/>
          </c:spPr>
          <c:invertIfNegative val="0"/>
          <c:cat>
            <c:strLit>
              <c:ptCount val="1"/>
              <c:pt idx="0">
                <c:v>Transports</c:v>
              </c:pt>
            </c:strLit>
          </c:cat>
          <c:val>
            <c:numRef>
              <c:f>Résultats!$C$86:$D$86</c:f>
              <c:numCache>
                <c:formatCode>_-* #\ ##0\ _€_-;\-* #\ ##0\ _€_-;_-* "-"??\ _€_-;_-@_-</c:formatCode>
                <c:ptCount val="1"/>
                <c:pt idx="0">
                  <c:v>0</c:v>
                </c:pt>
              </c:numCache>
            </c:numRef>
          </c:val>
          <c:extLst>
            <c:ext xmlns:c16="http://schemas.microsoft.com/office/drawing/2014/chart" uri="{C3380CC4-5D6E-409C-BE32-E72D297353CC}">
              <c16:uniqueId val="{00000003-0488-4FD8-8996-218C947DDA64}"/>
            </c:ext>
          </c:extLst>
        </c:ser>
        <c:ser>
          <c:idx val="4"/>
          <c:order val="4"/>
          <c:tx>
            <c:strRef>
              <c:f>Résultats!$B$87</c:f>
              <c:strCache>
                <c:ptCount val="1"/>
                <c:pt idx="0">
                  <c:v>Avion</c:v>
                </c:pt>
              </c:strCache>
            </c:strRef>
          </c:tx>
          <c:spPr>
            <a:solidFill>
              <a:schemeClr val="tx1"/>
            </a:solidFill>
            <a:ln>
              <a:noFill/>
            </a:ln>
            <a:effectLst/>
          </c:spPr>
          <c:invertIfNegative val="0"/>
          <c:cat>
            <c:strLit>
              <c:ptCount val="1"/>
              <c:pt idx="0">
                <c:v>Transports</c:v>
              </c:pt>
            </c:strLit>
          </c:cat>
          <c:val>
            <c:numRef>
              <c:f>Résultats!$C$87:$D$87</c:f>
              <c:numCache>
                <c:formatCode>_-* #\ ##0\ _€_-;\-* #\ ##0\ _€_-;_-* "-"??\ _€_-;_-@_-</c:formatCode>
                <c:ptCount val="1"/>
                <c:pt idx="0">
                  <c:v>0</c:v>
                </c:pt>
              </c:numCache>
            </c:numRef>
          </c:val>
          <c:extLst>
            <c:ext xmlns:c16="http://schemas.microsoft.com/office/drawing/2014/chart" uri="{C3380CC4-5D6E-409C-BE32-E72D297353CC}">
              <c16:uniqueId val="{00000004-0488-4FD8-8996-218C947DDA64}"/>
            </c:ext>
          </c:extLst>
        </c:ser>
        <c:ser>
          <c:idx val="5"/>
          <c:order val="5"/>
          <c:tx>
            <c:strRef>
              <c:f>Résultats!$B$88</c:f>
              <c:strCache>
                <c:ptCount val="1"/>
                <c:pt idx="0">
                  <c:v>Trains</c:v>
                </c:pt>
              </c:strCache>
            </c:strRef>
          </c:tx>
          <c:spPr>
            <a:solidFill>
              <a:schemeClr val="accent4"/>
            </a:solidFill>
            <a:ln>
              <a:noFill/>
            </a:ln>
            <a:effectLst/>
          </c:spPr>
          <c:invertIfNegative val="0"/>
          <c:cat>
            <c:strLit>
              <c:ptCount val="1"/>
              <c:pt idx="0">
                <c:v>Transports</c:v>
              </c:pt>
            </c:strLit>
          </c:cat>
          <c:val>
            <c:numRef>
              <c:f>Résultats!$C$88:$D$88</c:f>
              <c:numCache>
                <c:formatCode>_-* #\ ##0\ _€_-;\-* #\ ##0\ _€_-;_-* "-"??\ _€_-;_-@_-</c:formatCode>
                <c:ptCount val="1"/>
                <c:pt idx="0">
                  <c:v>67.2</c:v>
                </c:pt>
              </c:numCache>
            </c:numRef>
          </c:val>
          <c:extLst>
            <c:ext xmlns:c16="http://schemas.microsoft.com/office/drawing/2014/chart" uri="{C3380CC4-5D6E-409C-BE32-E72D297353CC}">
              <c16:uniqueId val="{00000005-0488-4FD8-8996-218C947DDA64}"/>
            </c:ext>
          </c:extLst>
        </c:ser>
        <c:ser>
          <c:idx val="6"/>
          <c:order val="6"/>
          <c:tx>
            <c:strRef>
              <c:f>Résultats!$B$89</c:f>
              <c:strCache>
                <c:ptCount val="1"/>
                <c:pt idx="0">
                  <c:v>Bus</c:v>
                </c:pt>
              </c:strCache>
            </c:strRef>
          </c:tx>
          <c:spPr>
            <a:solidFill>
              <a:schemeClr val="accent6">
                <a:lumMod val="40000"/>
                <a:lumOff val="60000"/>
              </a:schemeClr>
            </a:solidFill>
            <a:ln>
              <a:noFill/>
            </a:ln>
            <a:effectLst/>
          </c:spPr>
          <c:invertIfNegative val="0"/>
          <c:cat>
            <c:strLit>
              <c:ptCount val="1"/>
              <c:pt idx="0">
                <c:v>Transports</c:v>
              </c:pt>
            </c:strLit>
          </c:cat>
          <c:val>
            <c:numRef>
              <c:f>Résultats!$C$89:$D$89</c:f>
              <c:numCache>
                <c:formatCode>_-* #\ ##0\ _€_-;\-* #\ ##0\ _€_-;_-* "-"??\ _€_-;_-@_-</c:formatCode>
                <c:ptCount val="1"/>
                <c:pt idx="0">
                  <c:v>0</c:v>
                </c:pt>
              </c:numCache>
            </c:numRef>
          </c:val>
          <c:extLst>
            <c:ext xmlns:c16="http://schemas.microsoft.com/office/drawing/2014/chart" uri="{C3380CC4-5D6E-409C-BE32-E72D297353CC}">
              <c16:uniqueId val="{00000006-0488-4FD8-8996-218C947DDA64}"/>
            </c:ext>
          </c:extLst>
        </c:ser>
        <c:ser>
          <c:idx val="7"/>
          <c:order val="7"/>
          <c:tx>
            <c:strRef>
              <c:f>Résultats!$B$90</c:f>
              <c:strCache>
                <c:ptCount val="1"/>
                <c:pt idx="0">
                  <c:v>Métro</c:v>
                </c:pt>
              </c:strCache>
            </c:strRef>
          </c:tx>
          <c:spPr>
            <a:solidFill>
              <a:schemeClr val="accent4">
                <a:lumMod val="75000"/>
              </a:schemeClr>
            </a:solidFill>
            <a:ln>
              <a:noFill/>
            </a:ln>
            <a:effectLst/>
          </c:spPr>
          <c:invertIfNegative val="0"/>
          <c:cat>
            <c:strLit>
              <c:ptCount val="1"/>
              <c:pt idx="0">
                <c:v>Transports</c:v>
              </c:pt>
            </c:strLit>
          </c:cat>
          <c:val>
            <c:numRef>
              <c:f>Résultats!$C$90:$D$90</c:f>
              <c:numCache>
                <c:formatCode>_-* #\ ##0\ _€_-;\-* #\ ##0\ _€_-;_-* "-"??\ _€_-;_-@_-</c:formatCode>
                <c:ptCount val="1"/>
                <c:pt idx="0">
                  <c:v>0</c:v>
                </c:pt>
              </c:numCache>
            </c:numRef>
          </c:val>
          <c:extLst>
            <c:ext xmlns:c16="http://schemas.microsoft.com/office/drawing/2014/chart" uri="{C3380CC4-5D6E-409C-BE32-E72D297353CC}">
              <c16:uniqueId val="{00000007-0488-4FD8-8996-218C947DDA64}"/>
            </c:ext>
          </c:extLst>
        </c:ser>
        <c:dLbls>
          <c:showLegendKey val="0"/>
          <c:showVal val="0"/>
          <c:showCatName val="0"/>
          <c:showSerName val="0"/>
          <c:showPercent val="0"/>
          <c:showBubbleSize val="0"/>
        </c:dLbls>
        <c:gapWidth val="150"/>
        <c:overlap val="100"/>
        <c:axId val="409721616"/>
        <c:axId val="409722272"/>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Résultats!$B$111</c:f>
              <c:strCache>
                <c:ptCount val="1"/>
                <c:pt idx="0">
                  <c:v>Repas végétariens</c:v>
                </c:pt>
              </c:strCache>
            </c:strRef>
          </c:tx>
          <c:spPr>
            <a:solidFill>
              <a:schemeClr val="accent4"/>
            </a:solidFill>
            <a:ln>
              <a:noFill/>
            </a:ln>
            <a:effectLst/>
          </c:spPr>
          <c:invertIfNegative val="0"/>
          <c:cat>
            <c:strLit>
              <c:ptCount val="1"/>
              <c:pt idx="0">
                <c:v>Alimentation</c:v>
              </c:pt>
            </c:strLit>
          </c:cat>
          <c:val>
            <c:numRef>
              <c:f>Résultats!$C$111:$D$111</c:f>
              <c:numCache>
                <c:formatCode>_-* #\ ##0\ _€_-;\-* #\ ##0\ _€_-;_-* "-"??\ _€_-;_-@_-</c:formatCode>
                <c:ptCount val="1"/>
                <c:pt idx="0">
                  <c:v>0</c:v>
                </c:pt>
              </c:numCache>
            </c:numRef>
          </c:val>
          <c:extLst>
            <c:ext xmlns:c16="http://schemas.microsoft.com/office/drawing/2014/chart" uri="{C3380CC4-5D6E-409C-BE32-E72D297353CC}">
              <c16:uniqueId val="{00000000-6A34-4ED2-B5CF-822DCE1EAE46}"/>
            </c:ext>
          </c:extLst>
        </c:ser>
        <c:ser>
          <c:idx val="1"/>
          <c:order val="1"/>
          <c:tx>
            <c:strRef>
              <c:f>Résultats!$B$112</c:f>
              <c:strCache>
                <c:ptCount val="1"/>
                <c:pt idx="0">
                  <c:v>Repas à base viande rouge</c:v>
                </c:pt>
              </c:strCache>
            </c:strRef>
          </c:tx>
          <c:spPr>
            <a:solidFill>
              <a:schemeClr val="tx1"/>
            </a:solidFill>
            <a:ln>
              <a:noFill/>
            </a:ln>
            <a:effectLst/>
          </c:spPr>
          <c:invertIfNegative val="0"/>
          <c:cat>
            <c:strLit>
              <c:ptCount val="1"/>
              <c:pt idx="0">
                <c:v>Alimentation</c:v>
              </c:pt>
            </c:strLit>
          </c:cat>
          <c:val>
            <c:numRef>
              <c:f>Résultats!$C$112:$D$112</c:f>
              <c:numCache>
                <c:formatCode>_-* #\ ##0\ _€_-;\-* #\ ##0\ _€_-;_-* "-"??\ _€_-;_-@_-</c:formatCode>
                <c:ptCount val="1"/>
                <c:pt idx="0">
                  <c:v>0</c:v>
                </c:pt>
              </c:numCache>
            </c:numRef>
          </c:val>
          <c:extLst>
            <c:ext xmlns:c16="http://schemas.microsoft.com/office/drawing/2014/chart" uri="{C3380CC4-5D6E-409C-BE32-E72D297353CC}">
              <c16:uniqueId val="{00000001-6A34-4ED2-B5CF-822DCE1EAE46}"/>
            </c:ext>
          </c:extLst>
        </c:ser>
        <c:ser>
          <c:idx val="2"/>
          <c:order val="2"/>
          <c:tx>
            <c:strRef>
              <c:f>Résultats!$B$113</c:f>
              <c:strCache>
                <c:ptCount val="1"/>
                <c:pt idx="0">
                  <c:v>Repas à base viande blanche</c:v>
                </c:pt>
              </c:strCache>
            </c:strRef>
          </c:tx>
          <c:spPr>
            <a:solidFill>
              <a:schemeClr val="accent3"/>
            </a:solidFill>
            <a:ln>
              <a:noFill/>
            </a:ln>
            <a:effectLst/>
          </c:spPr>
          <c:invertIfNegative val="0"/>
          <c:cat>
            <c:strLit>
              <c:ptCount val="1"/>
              <c:pt idx="0">
                <c:v>Alimentation</c:v>
              </c:pt>
            </c:strLit>
          </c:cat>
          <c:val>
            <c:numRef>
              <c:f>Résultats!$C$113:$D$113</c:f>
              <c:numCache>
                <c:formatCode>_-* #\ ##0\ _€_-;\-* #\ ##0\ _€_-;_-* "-"??\ _€_-;_-@_-</c:formatCode>
                <c:ptCount val="1"/>
                <c:pt idx="0">
                  <c:v>0</c:v>
                </c:pt>
              </c:numCache>
            </c:numRef>
          </c:val>
          <c:extLst>
            <c:ext xmlns:c16="http://schemas.microsoft.com/office/drawing/2014/chart" uri="{C3380CC4-5D6E-409C-BE32-E72D297353CC}">
              <c16:uniqueId val="{00000002-6A34-4ED2-B5CF-822DCE1EAE46}"/>
            </c:ext>
          </c:extLst>
        </c:ser>
        <c:ser>
          <c:idx val="4"/>
          <c:order val="4"/>
          <c:tx>
            <c:strRef>
              <c:f>Résultats!$B$115</c:f>
              <c:strCache>
                <c:ptCount val="1"/>
                <c:pt idx="0">
                  <c:v>Boissons</c:v>
                </c:pt>
              </c:strCache>
            </c:strRef>
          </c:tx>
          <c:spPr>
            <a:solidFill>
              <a:schemeClr val="accent1"/>
            </a:solidFill>
            <a:ln>
              <a:noFill/>
            </a:ln>
            <a:effectLst/>
          </c:spPr>
          <c:invertIfNegative val="0"/>
          <c:cat>
            <c:strLit>
              <c:ptCount val="1"/>
              <c:pt idx="0">
                <c:v>Alimentation</c:v>
              </c:pt>
            </c:strLit>
          </c:cat>
          <c:val>
            <c:numRef>
              <c:f>Résultats!$C$115:$D$115</c:f>
              <c:numCache>
                <c:formatCode>_-* #\ ##0\ _€_-;\-* #\ ##0\ _€_-;_-* "-"??\ _€_-;_-@_-</c:formatCode>
                <c:ptCount val="1"/>
                <c:pt idx="0">
                  <c:v>0</c:v>
                </c:pt>
              </c:numCache>
            </c:numRef>
          </c:val>
          <c:extLst>
            <c:ext xmlns:c16="http://schemas.microsoft.com/office/drawing/2014/chart" uri="{C3380CC4-5D6E-409C-BE32-E72D297353CC}">
              <c16:uniqueId val="{00000004-6A34-4ED2-B5CF-822DCE1EAE46}"/>
            </c:ext>
          </c:extLst>
        </c:ser>
        <c:ser>
          <c:idx val="6"/>
          <c:order val="6"/>
          <c:tx>
            <c:strRef>
              <c:f>Résultats!$B$117</c:f>
              <c:strCache>
                <c:ptCount val="1"/>
                <c:pt idx="0">
                  <c:v>Déchets</c:v>
                </c:pt>
              </c:strCache>
            </c:strRef>
          </c:tx>
          <c:spPr>
            <a:solidFill>
              <a:schemeClr val="accent1">
                <a:lumMod val="60000"/>
              </a:schemeClr>
            </a:solidFill>
            <a:ln>
              <a:noFill/>
            </a:ln>
            <a:effectLst/>
          </c:spPr>
          <c:invertIfNegative val="0"/>
          <c:cat>
            <c:strLit>
              <c:ptCount val="1"/>
              <c:pt idx="0">
                <c:v>Alimentation</c:v>
              </c:pt>
            </c:strLit>
          </c:cat>
          <c:val>
            <c:numRef>
              <c:f>Résultats!$C$117:$D$117</c:f>
              <c:numCache>
                <c:formatCode>_(* #,##0.00_);_(* \(#,##0.00\);_(* "-"??_);_(@_)</c:formatCode>
                <c:ptCount val="1"/>
                <c:pt idx="0">
                  <c:v>200</c:v>
                </c:pt>
              </c:numCache>
            </c:numRef>
          </c:val>
          <c:extLst>
            <c:ext xmlns:c16="http://schemas.microsoft.com/office/drawing/2014/chart" uri="{C3380CC4-5D6E-409C-BE32-E72D297353CC}">
              <c16:uniqueId val="{00000006-6A34-4ED2-B5CF-822DCE1EAE46}"/>
            </c:ext>
          </c:extLst>
        </c:ser>
        <c:dLbls>
          <c:showLegendKey val="0"/>
          <c:showVal val="0"/>
          <c:showCatName val="0"/>
          <c:showSerName val="0"/>
          <c:showPercent val="0"/>
          <c:showBubbleSize val="0"/>
        </c:dLbls>
        <c:gapWidth val="150"/>
        <c:overlap val="100"/>
        <c:axId val="409721616"/>
        <c:axId val="409722272"/>
        <c:extLst>
          <c:ext xmlns:c15="http://schemas.microsoft.com/office/drawing/2012/chart" uri="{02D57815-91ED-43cb-92C2-25804820EDAC}">
            <c15:filteredBarSeries>
              <c15:ser>
                <c:idx val="3"/>
                <c:order val="3"/>
                <c:tx>
                  <c:strRef>
                    <c:extLst>
                      <c:ext uri="{02D57815-91ED-43cb-92C2-25804820EDAC}">
                        <c15:formulaRef>
                          <c15:sqref>Résultats!$B$114</c15:sqref>
                        </c15:formulaRef>
                      </c:ext>
                    </c:extLst>
                    <c:strCache>
                      <c:ptCount val="1"/>
                      <c:pt idx="0">
                        <c:v>Boissons</c:v>
                      </c:pt>
                    </c:strCache>
                  </c:strRef>
                </c:tx>
                <c:spPr>
                  <a:solidFill>
                    <a:schemeClr val="accent4"/>
                  </a:solidFill>
                  <a:ln>
                    <a:noFill/>
                  </a:ln>
                  <a:effectLst/>
                </c:spPr>
                <c:invertIfNegative val="0"/>
                <c:cat>
                  <c:strLit>
                    <c:ptCount val="1"/>
                    <c:pt idx="0">
                      <c:v>Alimentation</c:v>
                    </c:pt>
                  </c:strLit>
                </c:cat>
                <c:val>
                  <c:numRef>
                    <c:extLst>
                      <c:ext uri="{02D57815-91ED-43cb-92C2-25804820EDAC}">
                        <c15:formulaRef>
                          <c15:sqref>Résultats!$C$114:$D$114</c15:sqref>
                        </c15:formulaRef>
                      </c:ext>
                    </c:extLst>
                    <c:numCache>
                      <c:formatCode>General</c:formatCode>
                      <c:ptCount val="1"/>
                    </c:numCache>
                  </c:numRef>
                </c:val>
                <c:extLst>
                  <c:ext xmlns:c16="http://schemas.microsoft.com/office/drawing/2014/chart" uri="{C3380CC4-5D6E-409C-BE32-E72D297353CC}">
                    <c16:uniqueId val="{00000003-6A34-4ED2-B5CF-822DCE1EAE4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Résultats!$B$116</c15:sqref>
                        </c15:formulaRef>
                      </c:ext>
                    </c:extLst>
                    <c:strCache>
                      <c:ptCount val="1"/>
                      <c:pt idx="0">
                        <c:v>Déchets</c:v>
                      </c:pt>
                    </c:strCache>
                  </c:strRef>
                </c:tx>
                <c:spPr>
                  <a:solidFill>
                    <a:schemeClr val="accent6"/>
                  </a:solidFill>
                  <a:ln>
                    <a:noFill/>
                  </a:ln>
                  <a:effectLst/>
                </c:spPr>
                <c:invertIfNegative val="0"/>
                <c:cat>
                  <c:strLit>
                    <c:ptCount val="1"/>
                    <c:pt idx="0">
                      <c:v>Alimentation</c:v>
                    </c:pt>
                  </c:strLit>
                </c:cat>
                <c:val>
                  <c:numRef>
                    <c:extLst xmlns:c15="http://schemas.microsoft.com/office/drawing/2012/chart">
                      <c:ext xmlns:c15="http://schemas.microsoft.com/office/drawing/2012/chart" uri="{02D57815-91ED-43cb-92C2-25804820EDAC}">
                        <c15:formulaRef>
                          <c15:sqref>Résultats!$C$116:$D$116</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5-6A34-4ED2-B5CF-822DCE1EAE46}"/>
                  </c:ext>
                </c:extLst>
              </c15:ser>
            </c15:filteredBarSeries>
          </c:ext>
        </c:extLst>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B$93" lockText="1" noThreeD="1"/>
</file>

<file path=xl/ctrlProps/ctrlProp2.xml><?xml version="1.0" encoding="utf-8"?>
<formControlPr xmlns="http://schemas.microsoft.com/office/spreadsheetml/2009/9/main" objectType="CheckBox" fmlaLink="$B$64" lockText="1" noThreeD="1"/>
</file>

<file path=xl/ctrlProps/ctrlProp3.xml><?xml version="1.0" encoding="utf-8"?>
<formControlPr xmlns="http://schemas.microsoft.com/office/spreadsheetml/2009/9/main" objectType="CheckBox" fmlaLink="$B$66" lockText="1" noThreeD="1"/>
</file>

<file path=xl/ctrlProps/ctrlProp4.xml><?xml version="1.0" encoding="utf-8"?>
<formControlPr xmlns="http://schemas.microsoft.com/office/spreadsheetml/2009/9/main" objectType="CheckBox" fmlaLink="$B$64" lockText="1" noThreeD="1"/>
</file>

<file path=xl/ctrlProps/ctrlProp5.xml><?xml version="1.0" encoding="utf-8"?>
<formControlPr xmlns="http://schemas.microsoft.com/office/spreadsheetml/2009/9/main" objectType="CheckBox" fmlaLink="$B$69"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www.taca.asso.fr/" TargetMode="External"/><Relationship Id="rId7" Type="http://schemas.openxmlformats.org/officeDocument/2006/relationships/image" Target="../media/image4.jpeg"/><Relationship Id="rId2" Type="http://schemas.openxmlformats.org/officeDocument/2006/relationships/image" Target="../media/image1.png"/><Relationship Id="rId1" Type="http://schemas.openxmlformats.org/officeDocument/2006/relationships/hyperlink" Target="http://avenirclimatique.org/" TargetMode="External"/><Relationship Id="rId6" Type="http://schemas.openxmlformats.org/officeDocument/2006/relationships/hyperlink" Target="https://docs.google.com/forms/d/1UWMMRAkeJNppaPCQS7U18G4SnncgLTYtpVEF54qAWz8/viewform" TargetMode="External"/><Relationship Id="rId5" Type="http://schemas.openxmlformats.org/officeDocument/2006/relationships/image" Target="../media/image3.png"/><Relationship Id="rId10" Type="http://schemas.openxmlformats.org/officeDocument/2006/relationships/image" Target="../media/image6.png"/><Relationship Id="rId4" Type="http://schemas.openxmlformats.org/officeDocument/2006/relationships/image" Target="../media/image2.jpeg"/><Relationship Id="rId9" Type="http://schemas.openxmlformats.org/officeDocument/2006/relationships/hyperlink" Target="#'Mode d''emploi'!A1"/></Relationships>
</file>

<file path=xl/drawings/_rels/drawing1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1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R&#233;sultats!A1"/><Relationship Id="rId3" Type="http://schemas.openxmlformats.org/officeDocument/2006/relationships/chart" Target="../charts/chart15.xml"/><Relationship Id="rId7" Type="http://schemas.openxmlformats.org/officeDocument/2006/relationships/hyperlink" Target="http://avenirclimatique.org/" TargetMode="External"/><Relationship Id="rId12" Type="http://schemas.openxmlformats.org/officeDocument/2006/relationships/hyperlink" Target="#'Sources des donn&#233;es'!A1"/><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image" Target="../media/image4.jpeg"/><Relationship Id="rId11" Type="http://schemas.openxmlformats.org/officeDocument/2006/relationships/hyperlink" Target="#Saisie!A1"/><Relationship Id="rId5" Type="http://schemas.openxmlformats.org/officeDocument/2006/relationships/hyperlink" Target="http://www.taca.asso.fr/" TargetMode="External"/><Relationship Id="rId15" Type="http://schemas.openxmlformats.org/officeDocument/2006/relationships/chart" Target="../charts/chart19.xml"/><Relationship Id="rId10" Type="http://schemas.openxmlformats.org/officeDocument/2006/relationships/hyperlink" Target="#'Mode d''emploi'!A1"/><Relationship Id="rId4" Type="http://schemas.openxmlformats.org/officeDocument/2006/relationships/chart" Target="../charts/chart16.xml"/><Relationship Id="rId9" Type="http://schemas.openxmlformats.org/officeDocument/2006/relationships/chart" Target="../charts/chart17.xml"/><Relationship Id="rId14"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20.png"/><Relationship Id="rId9" Type="http://schemas.openxmlformats.org/officeDocument/2006/relationships/hyperlink" Target="#Saisie!A1"/></Relationships>
</file>

<file path=xl/drawings/_rels/drawing13.xml.rels><?xml version="1.0" encoding="UTF-8" standalone="yes"?>
<Relationships xmlns="http://schemas.openxmlformats.org/package/2006/relationships"><Relationship Id="rId8" Type="http://schemas.openxmlformats.org/officeDocument/2006/relationships/hyperlink" Target="#R&#233;sultats!A1"/><Relationship Id="rId13" Type="http://schemas.openxmlformats.org/officeDocument/2006/relationships/image" Target="../media/image24.png"/><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12" Type="http://schemas.openxmlformats.org/officeDocument/2006/relationships/image" Target="../media/image23.png"/><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11" Type="http://schemas.openxmlformats.org/officeDocument/2006/relationships/image" Target="../media/image22.png"/><Relationship Id="rId5" Type="http://schemas.openxmlformats.org/officeDocument/2006/relationships/hyperlink" Target="#'Mode d''emploi'!A1"/><Relationship Id="rId10" Type="http://schemas.openxmlformats.org/officeDocument/2006/relationships/image" Target="../media/image21.png"/><Relationship Id="rId4" Type="http://schemas.openxmlformats.org/officeDocument/2006/relationships/image" Target="../media/image20.png"/><Relationship Id="rId9" Type="http://schemas.openxmlformats.org/officeDocument/2006/relationships/hyperlink" Target="#Saisie!A1"/></Relationships>
</file>

<file path=xl/drawings/_rels/drawing14.xml.rels><?xml version="1.0" encoding="UTF-8" standalone="yes"?>
<Relationships xmlns="http://schemas.openxmlformats.org/package/2006/relationships"><Relationship Id="rId8" Type="http://schemas.openxmlformats.org/officeDocument/2006/relationships/hyperlink" Target="#Saisie!A1"/><Relationship Id="rId3" Type="http://schemas.openxmlformats.org/officeDocument/2006/relationships/hyperlink" Target="http://avenirclimatique.org/" TargetMode="External"/><Relationship Id="rId7" Type="http://schemas.openxmlformats.org/officeDocument/2006/relationships/hyperlink" Target="#R&#233;sultats!A1"/><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2" Type="http://schemas.openxmlformats.org/officeDocument/2006/relationships/image" Target="../media/image25.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26.png"/><Relationship Id="rId9" Type="http://schemas.openxmlformats.org/officeDocument/2006/relationships/hyperlink" Target="#Saisie!A1"/></Relationships>
</file>

<file path=xl/drawings/_rels/drawing2.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www.taca.asso.fr/" TargetMode="External"/><Relationship Id="rId7" Type="http://schemas.openxmlformats.org/officeDocument/2006/relationships/hyperlink" Target="#Saisie!A1"/><Relationship Id="rId12" Type="http://schemas.openxmlformats.org/officeDocument/2006/relationships/hyperlink" Target="https://docs.google.com/forms/d/1UWMMRAkeJNppaPCQS7U18G4SnncgLTYtpVEF54qAWz8/viewform" TargetMode="External"/><Relationship Id="rId2" Type="http://schemas.openxmlformats.org/officeDocument/2006/relationships/image" Target="../media/image7.png"/><Relationship Id="rId1" Type="http://schemas.openxmlformats.org/officeDocument/2006/relationships/hyperlink" Target="http://avenirclimatique.org/" TargetMode="External"/><Relationship Id="rId6" Type="http://schemas.openxmlformats.org/officeDocument/2006/relationships/image" Target="../media/image5.png"/><Relationship Id="rId11" Type="http://schemas.openxmlformats.org/officeDocument/2006/relationships/hyperlink" Target="#FAQ!A1"/><Relationship Id="rId5" Type="http://schemas.openxmlformats.org/officeDocument/2006/relationships/image" Target="../media/image4.jpeg"/><Relationship Id="rId10" Type="http://schemas.openxmlformats.org/officeDocument/2006/relationships/hyperlink" Target="#'Sources des donn&#233;es'!A1"/><Relationship Id="rId4" Type="http://schemas.openxmlformats.org/officeDocument/2006/relationships/image" Target="../media/image8.jpeg"/><Relationship Id="rId9" Type="http://schemas.openxmlformats.org/officeDocument/2006/relationships/hyperlink" Target="#'Simulation prix carbone'!A1"/></Relationships>
</file>

<file path=xl/drawings/_rels/drawing3.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2" Type="http://schemas.openxmlformats.org/officeDocument/2006/relationships/image" Target="../media/image9.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hyperlink" Target="http://avenirclimatique.org/" TargetMode="External"/><Relationship Id="rId13" Type="http://schemas.openxmlformats.org/officeDocument/2006/relationships/hyperlink" Target="#Saisie!A1"/><Relationship Id="rId18" Type="http://schemas.openxmlformats.org/officeDocument/2006/relationships/image" Target="../media/image14.png"/><Relationship Id="rId26" Type="http://schemas.openxmlformats.org/officeDocument/2006/relationships/chart" Target="../charts/chart9.xml"/><Relationship Id="rId3" Type="http://schemas.openxmlformats.org/officeDocument/2006/relationships/chart" Target="../charts/chart1.xml"/><Relationship Id="rId21" Type="http://schemas.openxmlformats.org/officeDocument/2006/relationships/image" Target="../media/image17.png"/><Relationship Id="rId7" Type="http://schemas.openxmlformats.org/officeDocument/2006/relationships/image" Target="../media/image12.png"/><Relationship Id="rId12" Type="http://schemas.openxmlformats.org/officeDocument/2006/relationships/hyperlink" Target="#'Sources des donn&#233;es'!A1"/><Relationship Id="rId17" Type="http://schemas.openxmlformats.org/officeDocument/2006/relationships/chart" Target="../charts/chart6.xml"/><Relationship Id="rId25" Type="http://schemas.openxmlformats.org/officeDocument/2006/relationships/chart" Target="../charts/chart8.xml"/><Relationship Id="rId2" Type="http://schemas.openxmlformats.org/officeDocument/2006/relationships/image" Target="../media/image11.png"/><Relationship Id="rId16" Type="http://schemas.openxmlformats.org/officeDocument/2006/relationships/chart" Target="../charts/chart5.xml"/><Relationship Id="rId20" Type="http://schemas.openxmlformats.org/officeDocument/2006/relationships/image" Target="../media/image16.png"/><Relationship Id="rId29" Type="http://schemas.openxmlformats.org/officeDocument/2006/relationships/chart" Target="../charts/chart12.xml"/><Relationship Id="rId1" Type="http://schemas.openxmlformats.org/officeDocument/2006/relationships/image" Target="../media/image10.png"/><Relationship Id="rId6" Type="http://schemas.openxmlformats.org/officeDocument/2006/relationships/hyperlink" Target="http://www.taca.asso.fr/" TargetMode="External"/><Relationship Id="rId11" Type="http://schemas.openxmlformats.org/officeDocument/2006/relationships/hyperlink" Target="#'Simulation prix carbone'!A1"/><Relationship Id="rId24" Type="http://schemas.openxmlformats.org/officeDocument/2006/relationships/chart" Target="../charts/chart7.xml"/><Relationship Id="rId5" Type="http://schemas.openxmlformats.org/officeDocument/2006/relationships/chart" Target="../charts/chart3.xml"/><Relationship Id="rId15" Type="http://schemas.openxmlformats.org/officeDocument/2006/relationships/image" Target="../media/image13.png"/><Relationship Id="rId23" Type="http://schemas.openxmlformats.org/officeDocument/2006/relationships/image" Target="../media/image19.png"/><Relationship Id="rId28" Type="http://schemas.openxmlformats.org/officeDocument/2006/relationships/chart" Target="../charts/chart11.xml"/><Relationship Id="rId10" Type="http://schemas.openxmlformats.org/officeDocument/2006/relationships/hyperlink" Target="#'Mode d''emploi'!A1"/><Relationship Id="rId19" Type="http://schemas.openxmlformats.org/officeDocument/2006/relationships/image" Target="../media/image15.png"/><Relationship Id="rId4" Type="http://schemas.openxmlformats.org/officeDocument/2006/relationships/chart" Target="../charts/chart2.xml"/><Relationship Id="rId9" Type="http://schemas.openxmlformats.org/officeDocument/2006/relationships/image" Target="../media/image5.png"/><Relationship Id="rId14" Type="http://schemas.openxmlformats.org/officeDocument/2006/relationships/chart" Target="../charts/chart4.xml"/><Relationship Id="rId22" Type="http://schemas.openxmlformats.org/officeDocument/2006/relationships/image" Target="../media/image18.png"/><Relationship Id="rId27"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8.xml.rels><?xml version="1.0" encoding="UTF-8" standalone="yes"?>
<Relationships xmlns="http://schemas.openxmlformats.org/package/2006/relationships"><Relationship Id="rId1" Type="http://schemas.openxmlformats.org/officeDocument/2006/relationships/image" Target="../media/image17.png"/></Relationships>
</file>

<file path=xl/drawings/_rels/drawing9.x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2</xdr:col>
      <xdr:colOff>800100</xdr:colOff>
      <xdr:row>19</xdr:row>
      <xdr:rowOff>47625</xdr:rowOff>
    </xdr:from>
    <xdr:to>
      <xdr:col>4</xdr:col>
      <xdr:colOff>723900</xdr:colOff>
      <xdr:row>25</xdr:row>
      <xdr:rowOff>0</xdr:rowOff>
    </xdr:to>
    <xdr:pic>
      <xdr:nvPicPr>
        <xdr:cNvPr id="825649" name="Image 1">
          <a:hlinkClick xmlns:r="http://schemas.openxmlformats.org/officeDocument/2006/relationships" r:id="rId1"/>
          <a:extLst>
            <a:ext uri="{FF2B5EF4-FFF2-40B4-BE49-F238E27FC236}">
              <a16:creationId xmlns:a16="http://schemas.microsoft.com/office/drawing/2014/main" id="{00000000-0008-0000-0000-000031990C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3867150" y="7429500"/>
          <a:ext cx="2819400" cy="923925"/>
        </a:xfrm>
        <a:prstGeom prst="rect">
          <a:avLst/>
        </a:prstGeom>
        <a:noFill/>
        <a:ln w="9525">
          <a:noFill/>
          <a:miter lim="800000"/>
          <a:headEnd/>
          <a:tailEnd/>
        </a:ln>
      </xdr:spPr>
    </xdr:pic>
    <xdr:clientData/>
  </xdr:twoCellAnchor>
  <xdr:twoCellAnchor editAs="oneCell">
    <xdr:from>
      <xdr:col>0</xdr:col>
      <xdr:colOff>419100</xdr:colOff>
      <xdr:row>19</xdr:row>
      <xdr:rowOff>104775</xdr:rowOff>
    </xdr:from>
    <xdr:to>
      <xdr:col>2</xdr:col>
      <xdr:colOff>428625</xdr:colOff>
      <xdr:row>24</xdr:row>
      <xdr:rowOff>104775</xdr:rowOff>
    </xdr:to>
    <xdr:pic>
      <xdr:nvPicPr>
        <xdr:cNvPr id="825650" name="Image 2">
          <a:hlinkClick xmlns:r="http://schemas.openxmlformats.org/officeDocument/2006/relationships" r:id="rId3"/>
          <a:extLst>
            <a:ext uri="{FF2B5EF4-FFF2-40B4-BE49-F238E27FC236}">
              <a16:creationId xmlns:a16="http://schemas.microsoft.com/office/drawing/2014/main" id="{00000000-0008-0000-0000-000032990C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419100" y="7486650"/>
          <a:ext cx="2905125" cy="809625"/>
        </a:xfrm>
        <a:prstGeom prst="rect">
          <a:avLst/>
        </a:prstGeom>
        <a:noFill/>
        <a:ln w="9525">
          <a:noFill/>
          <a:miter lim="800000"/>
          <a:headEnd/>
          <a:tailEnd/>
        </a:ln>
      </xdr:spPr>
    </xdr:pic>
    <xdr:clientData/>
  </xdr:twoCellAnchor>
  <xdr:twoCellAnchor editAs="oneCell">
    <xdr:from>
      <xdr:col>5</xdr:col>
      <xdr:colOff>1038225</xdr:colOff>
      <xdr:row>0</xdr:row>
      <xdr:rowOff>19050</xdr:rowOff>
    </xdr:from>
    <xdr:to>
      <xdr:col>5</xdr:col>
      <xdr:colOff>1038225</xdr:colOff>
      <xdr:row>0</xdr:row>
      <xdr:rowOff>457200</xdr:rowOff>
    </xdr:to>
    <xdr:pic>
      <xdr:nvPicPr>
        <xdr:cNvPr id="825651" name="Image 4">
          <a:extLst>
            <a:ext uri="{FF2B5EF4-FFF2-40B4-BE49-F238E27FC236}">
              <a16:creationId xmlns:a16="http://schemas.microsoft.com/office/drawing/2014/main" id="{00000000-0008-0000-0000-000033990C00}"/>
            </a:ext>
          </a:extLst>
        </xdr:cNvPr>
        <xdr:cNvPicPr>
          <a:picLocks noChangeAspect="1"/>
        </xdr:cNvPicPr>
      </xdr:nvPicPr>
      <xdr:blipFill>
        <a:blip xmlns:r="http://schemas.openxmlformats.org/officeDocument/2006/relationships" r:embed="rId5"/>
        <a:srcRect/>
        <a:stretch>
          <a:fillRect/>
        </a:stretch>
      </xdr:blipFill>
      <xdr:spPr bwMode="auto">
        <a:xfrm>
          <a:off x="8705850" y="19050"/>
          <a:ext cx="0" cy="438150"/>
        </a:xfrm>
        <a:prstGeom prst="rect">
          <a:avLst/>
        </a:prstGeom>
        <a:noFill/>
        <a:ln w="9525">
          <a:noFill/>
          <a:miter lim="800000"/>
          <a:headEnd/>
          <a:tailEnd/>
        </a:ln>
      </xdr:spPr>
    </xdr:pic>
    <xdr:clientData/>
  </xdr:twoCellAnchor>
  <xdr:twoCellAnchor>
    <xdr:from>
      <xdr:col>1</xdr:col>
      <xdr:colOff>1483042</xdr:colOff>
      <xdr:row>11</xdr:row>
      <xdr:rowOff>60960</xdr:rowOff>
    </xdr:from>
    <xdr:to>
      <xdr:col>3</xdr:col>
      <xdr:colOff>1319212</xdr:colOff>
      <xdr:row>15</xdr:row>
      <xdr:rowOff>97260</xdr:rowOff>
    </xdr:to>
    <xdr:sp macro="" textlink="">
      <xdr:nvSpPr>
        <xdr:cNvPr id="8" name="ZoneTexte 7">
          <a:hlinkClick xmlns:r="http://schemas.openxmlformats.org/officeDocument/2006/relationships" r:id="rId6"/>
          <a:extLst>
            <a:ext uri="{FF2B5EF4-FFF2-40B4-BE49-F238E27FC236}">
              <a16:creationId xmlns:a16="http://schemas.microsoft.com/office/drawing/2014/main" id="{00000000-0008-0000-0000-000008000000}"/>
            </a:ext>
          </a:extLst>
        </xdr:cNvPr>
        <xdr:cNvSpPr txBox="1"/>
      </xdr:nvSpPr>
      <xdr:spPr>
        <a:xfrm>
          <a:off x="2968942" y="5600700"/>
          <a:ext cx="2807970" cy="67638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a:solidFill>
                <a:srgbClr val="096377"/>
              </a:solidFill>
              <a:latin typeface="Tahoma" pitchFamily="34" charset="0"/>
              <a:ea typeface="Tahoma" pitchFamily="34" charset="0"/>
              <a:cs typeface="Tahoma" pitchFamily="34" charset="0"/>
            </a:rPr>
            <a:t>RÉPONDRE</a:t>
          </a:r>
          <a:r>
            <a:rPr lang="fr-FR" sz="1400" b="1" u="none" baseline="0">
              <a:solidFill>
                <a:srgbClr val="096377"/>
              </a:solidFill>
              <a:latin typeface="Tahoma" pitchFamily="34" charset="0"/>
              <a:ea typeface="Tahoma" pitchFamily="34" charset="0"/>
              <a:cs typeface="Tahoma" pitchFamily="34" charset="0"/>
            </a:rPr>
            <a:t> AU QUESTIONNAIRE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editAs="oneCell">
    <xdr:from>
      <xdr:col>5</xdr:col>
      <xdr:colOff>85725</xdr:colOff>
      <xdr:row>0</xdr:row>
      <xdr:rowOff>47625</xdr:rowOff>
    </xdr:from>
    <xdr:to>
      <xdr:col>5</xdr:col>
      <xdr:colOff>828675</xdr:colOff>
      <xdr:row>0</xdr:row>
      <xdr:rowOff>428625</xdr:rowOff>
    </xdr:to>
    <xdr:pic>
      <xdr:nvPicPr>
        <xdr:cNvPr id="825653" name="Image 3">
          <a:hlinkClick xmlns:r="http://schemas.openxmlformats.org/officeDocument/2006/relationships" r:id="rId3"/>
          <a:extLst>
            <a:ext uri="{FF2B5EF4-FFF2-40B4-BE49-F238E27FC236}">
              <a16:creationId xmlns:a16="http://schemas.microsoft.com/office/drawing/2014/main" id="{00000000-0008-0000-0000-000035990C00}"/>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7324725" y="47625"/>
          <a:ext cx="742950" cy="381000"/>
        </a:xfrm>
        <a:prstGeom prst="rect">
          <a:avLst/>
        </a:prstGeom>
        <a:noFill/>
        <a:ln w="9525">
          <a:noFill/>
          <a:miter lim="800000"/>
          <a:headEnd/>
          <a:tailEnd/>
        </a:ln>
      </xdr:spPr>
    </xdr:pic>
    <xdr:clientData/>
  </xdr:twoCellAnchor>
  <xdr:twoCellAnchor editAs="oneCell">
    <xdr:from>
      <xdr:col>5</xdr:col>
      <xdr:colOff>904875</xdr:colOff>
      <xdr:row>0</xdr:row>
      <xdr:rowOff>28575</xdr:rowOff>
    </xdr:from>
    <xdr:to>
      <xdr:col>5</xdr:col>
      <xdr:colOff>1362075</xdr:colOff>
      <xdr:row>0</xdr:row>
      <xdr:rowOff>466725</xdr:rowOff>
    </xdr:to>
    <xdr:pic>
      <xdr:nvPicPr>
        <xdr:cNvPr id="825654" name="Image 4">
          <a:hlinkClick xmlns:r="http://schemas.openxmlformats.org/officeDocument/2006/relationships" r:id="rId1"/>
          <a:extLst>
            <a:ext uri="{FF2B5EF4-FFF2-40B4-BE49-F238E27FC236}">
              <a16:creationId xmlns:a16="http://schemas.microsoft.com/office/drawing/2014/main" id="{00000000-0008-0000-0000-000036990C00}"/>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8143875" y="28575"/>
          <a:ext cx="457200" cy="438150"/>
        </a:xfrm>
        <a:prstGeom prst="rect">
          <a:avLst/>
        </a:prstGeom>
        <a:noFill/>
        <a:ln w="9525">
          <a:noFill/>
          <a:miter lim="800000"/>
          <a:headEnd/>
          <a:tailEnd/>
        </a:ln>
      </xdr:spPr>
    </xdr:pic>
    <xdr:clientData/>
  </xdr:twoCellAnchor>
  <xdr:twoCellAnchor>
    <xdr:from>
      <xdr:col>1</xdr:col>
      <xdr:colOff>1483042</xdr:colOff>
      <xdr:row>5</xdr:row>
      <xdr:rowOff>53340</xdr:rowOff>
    </xdr:from>
    <xdr:to>
      <xdr:col>3</xdr:col>
      <xdr:colOff>1319212</xdr:colOff>
      <xdr:row>9</xdr:row>
      <xdr:rowOff>89640</xdr:rowOff>
    </xdr:to>
    <xdr:sp macro="" textlink="">
      <xdr:nvSpPr>
        <xdr:cNvPr id="9" name="ZoneTexte 8">
          <a:hlinkClick xmlns:r="http://schemas.openxmlformats.org/officeDocument/2006/relationships" r:id="rId9"/>
          <a:extLst>
            <a:ext uri="{FF2B5EF4-FFF2-40B4-BE49-F238E27FC236}">
              <a16:creationId xmlns:a16="http://schemas.microsoft.com/office/drawing/2014/main" id="{00000000-0008-0000-0000-000009000000}"/>
            </a:ext>
          </a:extLst>
        </xdr:cNvPr>
        <xdr:cNvSpPr txBox="1"/>
      </xdr:nvSpPr>
      <xdr:spPr>
        <a:xfrm>
          <a:off x="2968942" y="4572000"/>
          <a:ext cx="2807970" cy="67638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a:solidFill>
                <a:srgbClr val="096377"/>
              </a:solidFill>
              <a:latin typeface="Tahoma" pitchFamily="34" charset="0"/>
              <a:ea typeface="Tahoma" pitchFamily="34" charset="0"/>
              <a:cs typeface="Tahoma" pitchFamily="34" charset="0"/>
            </a:rPr>
            <a:t>DÉMARRER</a:t>
          </a:r>
          <a:r>
            <a:rPr lang="fr-FR" sz="1400" b="1" u="none" baseline="0">
              <a:solidFill>
                <a:srgbClr val="096377"/>
              </a:solidFill>
              <a:latin typeface="Tahoma" pitchFamily="34" charset="0"/>
              <a:ea typeface="Tahoma" pitchFamily="34" charset="0"/>
              <a:cs typeface="Tahoma" pitchFamily="34" charset="0"/>
            </a:rPr>
            <a:t> VOTRE BILAN</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editAs="oneCell">
    <xdr:from>
      <xdr:col>0</xdr:col>
      <xdr:colOff>114300</xdr:colOff>
      <xdr:row>26</xdr:row>
      <xdr:rowOff>133350</xdr:rowOff>
    </xdr:from>
    <xdr:to>
      <xdr:col>1</xdr:col>
      <xdr:colOff>28575</xdr:colOff>
      <xdr:row>29</xdr:row>
      <xdr:rowOff>123825</xdr:rowOff>
    </xdr:to>
    <xdr:pic>
      <xdr:nvPicPr>
        <xdr:cNvPr id="825656" name="Image 9" descr="http://mirrors.creativecommons.org/presskit/buttons/88x31/png/by.png">
          <a:extLst>
            <a:ext uri="{FF2B5EF4-FFF2-40B4-BE49-F238E27FC236}">
              <a16:creationId xmlns:a16="http://schemas.microsoft.com/office/drawing/2014/main" id="{00000000-0008-0000-0000-000038990C00}"/>
            </a:ext>
          </a:extLst>
        </xdr:cNvPr>
        <xdr:cNvPicPr>
          <a:picLocks noChangeAspect="1" noChangeArrowheads="1"/>
        </xdr:cNvPicPr>
      </xdr:nvPicPr>
      <xdr:blipFill>
        <a:blip xmlns:r="http://schemas.openxmlformats.org/officeDocument/2006/relationships" r:embed="rId10" cstate="email">
          <a:extLst>
            <a:ext uri="{28A0092B-C50C-407E-A947-70E740481C1C}">
              <a14:useLocalDpi xmlns:a14="http://schemas.microsoft.com/office/drawing/2010/main"/>
            </a:ext>
          </a:extLst>
        </a:blip>
        <a:srcRect/>
        <a:stretch>
          <a:fillRect/>
        </a:stretch>
      </xdr:blipFill>
      <xdr:spPr bwMode="auto">
        <a:xfrm>
          <a:off x="114300" y="8810625"/>
          <a:ext cx="1362075" cy="476250"/>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0.78727</cdr:x>
      <cdr:y>0.00022</cdr:y>
    </cdr:from>
    <cdr:to>
      <cdr:x>0.92119</cdr:x>
      <cdr:y>0.21364</cdr:y>
    </cdr:to>
    <cdr:pic>
      <cdr:nvPicPr>
        <cdr:cNvPr id="2" name="Image 1">
          <a:extLst xmlns:a="http://schemas.openxmlformats.org/drawingml/2006/main">
            <a:ext uri="{FF2B5EF4-FFF2-40B4-BE49-F238E27FC236}">
              <a16:creationId xmlns:a16="http://schemas.microsoft.com/office/drawing/2014/main" id="{5C7C423F-0F89-4159-BF21-54CAAC6507D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599409" y="638"/>
          <a:ext cx="612286" cy="611999"/>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4</xdr:col>
      <xdr:colOff>180975</xdr:colOff>
      <xdr:row>26</xdr:row>
      <xdr:rowOff>0</xdr:rowOff>
    </xdr:from>
    <xdr:to>
      <xdr:col>8</xdr:col>
      <xdr:colOff>476250</xdr:colOff>
      <xdr:row>35</xdr:row>
      <xdr:rowOff>0</xdr:rowOff>
    </xdr:to>
    <xdr:graphicFrame macro="">
      <xdr:nvGraphicFramePr>
        <xdr:cNvPr id="1242219" name="Graphique 1">
          <a:extLst>
            <a:ext uri="{FF2B5EF4-FFF2-40B4-BE49-F238E27FC236}">
              <a16:creationId xmlns:a16="http://schemas.microsoft.com/office/drawing/2014/main" id="{00000000-0008-0000-0400-00006BF4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345327</xdr:colOff>
      <xdr:row>59</xdr:row>
      <xdr:rowOff>67235</xdr:rowOff>
    </xdr:from>
    <xdr:to>
      <xdr:col>8</xdr:col>
      <xdr:colOff>650127</xdr:colOff>
      <xdr:row>83</xdr:row>
      <xdr:rowOff>81241</xdr:rowOff>
    </xdr:to>
    <xdr:graphicFrame macro="">
      <xdr:nvGraphicFramePr>
        <xdr:cNvPr id="1242221" name="Graphique 5">
          <a:extLst>
            <a:ext uri="{FF2B5EF4-FFF2-40B4-BE49-F238E27FC236}">
              <a16:creationId xmlns:a16="http://schemas.microsoft.com/office/drawing/2014/main" id="{00000000-0008-0000-0400-00006DF4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61446</xdr:colOff>
      <xdr:row>86</xdr:row>
      <xdr:rowOff>475130</xdr:rowOff>
    </xdr:from>
    <xdr:to>
      <xdr:col>8</xdr:col>
      <xdr:colOff>356721</xdr:colOff>
      <xdr:row>95</xdr:row>
      <xdr:rowOff>246530</xdr:rowOff>
    </xdr:to>
    <xdr:graphicFrame macro="">
      <xdr:nvGraphicFramePr>
        <xdr:cNvPr id="1242222" name="Graphique 6">
          <a:extLst>
            <a:ext uri="{FF2B5EF4-FFF2-40B4-BE49-F238E27FC236}">
              <a16:creationId xmlns:a16="http://schemas.microsoft.com/office/drawing/2014/main" id="{00000000-0008-0000-0400-00006EF4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322916</xdr:colOff>
      <xdr:row>10</xdr:row>
      <xdr:rowOff>94690</xdr:rowOff>
    </xdr:from>
    <xdr:to>
      <xdr:col>6</xdr:col>
      <xdr:colOff>261471</xdr:colOff>
      <xdr:row>24</xdr:row>
      <xdr:rowOff>351118</xdr:rowOff>
    </xdr:to>
    <xdr:graphicFrame macro="">
      <xdr:nvGraphicFramePr>
        <xdr:cNvPr id="1242224" name="Graphique 1">
          <a:extLst>
            <a:ext uri="{FF2B5EF4-FFF2-40B4-BE49-F238E27FC236}">
              <a16:creationId xmlns:a16="http://schemas.microsoft.com/office/drawing/2014/main" id="{00000000-0008-0000-0400-000070F4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85725</xdr:colOff>
      <xdr:row>0</xdr:row>
      <xdr:rowOff>28575</xdr:rowOff>
    </xdr:from>
    <xdr:to>
      <xdr:col>5</xdr:col>
      <xdr:colOff>828675</xdr:colOff>
      <xdr:row>0</xdr:row>
      <xdr:rowOff>409575</xdr:rowOff>
    </xdr:to>
    <xdr:pic>
      <xdr:nvPicPr>
        <xdr:cNvPr id="1242225" name="Image 10">
          <a:hlinkClick xmlns:r="http://schemas.openxmlformats.org/officeDocument/2006/relationships" r:id="rId5"/>
          <a:extLst>
            <a:ext uri="{FF2B5EF4-FFF2-40B4-BE49-F238E27FC236}">
              <a16:creationId xmlns:a16="http://schemas.microsoft.com/office/drawing/2014/main" id="{00000000-0008-0000-0400-000071F4120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7439025" y="28575"/>
          <a:ext cx="742950" cy="381000"/>
        </a:xfrm>
        <a:prstGeom prst="rect">
          <a:avLst/>
        </a:prstGeom>
        <a:noFill/>
        <a:ln w="9525">
          <a:noFill/>
          <a:miter lim="800000"/>
          <a:headEnd/>
          <a:tailEnd/>
        </a:ln>
      </xdr:spPr>
    </xdr:pic>
    <xdr:clientData/>
  </xdr:twoCellAnchor>
  <xdr:twoCellAnchor editAs="oneCell">
    <xdr:from>
      <xdr:col>5</xdr:col>
      <xdr:colOff>904875</xdr:colOff>
      <xdr:row>0</xdr:row>
      <xdr:rowOff>9525</xdr:rowOff>
    </xdr:from>
    <xdr:to>
      <xdr:col>5</xdr:col>
      <xdr:colOff>1362075</xdr:colOff>
      <xdr:row>0</xdr:row>
      <xdr:rowOff>447675</xdr:rowOff>
    </xdr:to>
    <xdr:pic>
      <xdr:nvPicPr>
        <xdr:cNvPr id="1242226" name="Image 11">
          <a:hlinkClick xmlns:r="http://schemas.openxmlformats.org/officeDocument/2006/relationships" r:id="rId7"/>
          <a:extLst>
            <a:ext uri="{FF2B5EF4-FFF2-40B4-BE49-F238E27FC236}">
              <a16:creationId xmlns:a16="http://schemas.microsoft.com/office/drawing/2014/main" id="{00000000-0008-0000-0400-000072F41200}"/>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8258175" y="9525"/>
          <a:ext cx="457200" cy="438150"/>
        </a:xfrm>
        <a:prstGeom prst="rect">
          <a:avLst/>
        </a:prstGeom>
        <a:noFill/>
        <a:ln w="9525">
          <a:noFill/>
          <a:miter lim="800000"/>
          <a:headEnd/>
          <a:tailEnd/>
        </a:ln>
      </xdr:spPr>
    </xdr:pic>
    <xdr:clientData/>
  </xdr:twoCellAnchor>
  <xdr:twoCellAnchor>
    <xdr:from>
      <xdr:col>4</xdr:col>
      <xdr:colOff>180974</xdr:colOff>
      <xdr:row>95</xdr:row>
      <xdr:rowOff>228600</xdr:rowOff>
    </xdr:from>
    <xdr:to>
      <xdr:col>10</xdr:col>
      <xdr:colOff>253999</xdr:colOff>
      <xdr:row>103</xdr:row>
      <xdr:rowOff>231589</xdr:rowOff>
    </xdr:to>
    <xdr:graphicFrame macro="">
      <xdr:nvGraphicFramePr>
        <xdr:cNvPr id="1242227" name="Graphique 6">
          <a:extLst>
            <a:ext uri="{FF2B5EF4-FFF2-40B4-BE49-F238E27FC236}">
              <a16:creationId xmlns:a16="http://schemas.microsoft.com/office/drawing/2014/main" id="{00000000-0008-0000-0400-000073F4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371475</xdr:colOff>
      <xdr:row>1</xdr:row>
      <xdr:rowOff>76200</xdr:rowOff>
    </xdr:from>
    <xdr:to>
      <xdr:col>1</xdr:col>
      <xdr:colOff>205515</xdr:colOff>
      <xdr:row>5</xdr:row>
      <xdr:rowOff>17640</xdr:rowOff>
    </xdr:to>
    <xdr:sp macro="" textlink="">
      <xdr:nvSpPr>
        <xdr:cNvPr id="15" name="ZoneTexte 14">
          <a:hlinkClick xmlns:r="http://schemas.openxmlformats.org/officeDocument/2006/relationships" r:id="rId10"/>
          <a:extLst>
            <a:ext uri="{FF2B5EF4-FFF2-40B4-BE49-F238E27FC236}">
              <a16:creationId xmlns:a16="http://schemas.microsoft.com/office/drawing/2014/main" id="{00000000-0008-0000-0400-00000F000000}"/>
            </a:ext>
          </a:extLst>
        </xdr:cNvPr>
        <xdr:cNvSpPr txBox="1"/>
      </xdr:nvSpPr>
      <xdr:spPr>
        <a:xfrm>
          <a:off x="371475"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1</xdr:col>
      <xdr:colOff>669925</xdr:colOff>
      <xdr:row>1</xdr:row>
      <xdr:rowOff>76200</xdr:rowOff>
    </xdr:from>
    <xdr:to>
      <xdr:col>2</xdr:col>
      <xdr:colOff>503965</xdr:colOff>
      <xdr:row>5</xdr:row>
      <xdr:rowOff>17640</xdr:rowOff>
    </xdr:to>
    <xdr:sp macro="" textlink="">
      <xdr:nvSpPr>
        <xdr:cNvPr id="16" name="ZoneTexte 15">
          <a:hlinkClick xmlns:r="http://schemas.openxmlformats.org/officeDocument/2006/relationships" r:id="rId11"/>
          <a:extLst>
            <a:ext uri="{FF2B5EF4-FFF2-40B4-BE49-F238E27FC236}">
              <a16:creationId xmlns:a16="http://schemas.microsoft.com/office/drawing/2014/main" id="{00000000-0008-0000-0400-000010000000}"/>
            </a:ext>
          </a:extLst>
        </xdr:cNvPr>
        <xdr:cNvSpPr txBox="1"/>
      </xdr:nvSpPr>
      <xdr:spPr>
        <a:xfrm>
          <a:off x="2635885"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952500</xdr:colOff>
      <xdr:row>1</xdr:row>
      <xdr:rowOff>76200</xdr:rowOff>
    </xdr:from>
    <xdr:to>
      <xdr:col>5</xdr:col>
      <xdr:colOff>1419000</xdr:colOff>
      <xdr:row>5</xdr:row>
      <xdr:rowOff>17640</xdr:rowOff>
    </xdr:to>
    <xdr:sp macro="" textlink="">
      <xdr:nvSpPr>
        <xdr:cNvPr id="17" name="ZoneTexte 16">
          <a:hlinkClick xmlns:r="http://schemas.openxmlformats.org/officeDocument/2006/relationships" r:id="rId12"/>
          <a:extLst>
            <a:ext uri="{FF2B5EF4-FFF2-40B4-BE49-F238E27FC236}">
              <a16:creationId xmlns:a16="http://schemas.microsoft.com/office/drawing/2014/main" id="{00000000-0008-0000-0400-000011000000}"/>
            </a:ext>
          </a:extLst>
        </xdr:cNvPr>
        <xdr:cNvSpPr txBox="1"/>
      </xdr:nvSpPr>
      <xdr:spPr>
        <a:xfrm>
          <a:off x="7170420"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968375</xdr:colOff>
      <xdr:row>1</xdr:row>
      <xdr:rowOff>76200</xdr:rowOff>
    </xdr:from>
    <xdr:to>
      <xdr:col>4</xdr:col>
      <xdr:colOff>482375</xdr:colOff>
      <xdr:row>5</xdr:row>
      <xdr:rowOff>17640</xdr:rowOff>
    </xdr:to>
    <xdr:sp macro="" textlink="">
      <xdr:nvSpPr>
        <xdr:cNvPr id="19" name="ZoneTexte 18">
          <a:hlinkClick xmlns:r="http://schemas.openxmlformats.org/officeDocument/2006/relationships" r:id="rId13"/>
          <a:extLst>
            <a:ext uri="{FF2B5EF4-FFF2-40B4-BE49-F238E27FC236}">
              <a16:creationId xmlns:a16="http://schemas.microsoft.com/office/drawing/2014/main" id="{00000000-0008-0000-0400-000013000000}"/>
            </a:ext>
          </a:extLst>
        </xdr:cNvPr>
        <xdr:cNvSpPr txBox="1"/>
      </xdr:nvSpPr>
      <xdr:spPr>
        <a:xfrm>
          <a:off x="4900295"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254000</xdr:colOff>
      <xdr:row>35</xdr:row>
      <xdr:rowOff>306294</xdr:rowOff>
    </xdr:from>
    <xdr:to>
      <xdr:col>8</xdr:col>
      <xdr:colOff>549275</xdr:colOff>
      <xdr:row>46</xdr:row>
      <xdr:rowOff>179294</xdr:rowOff>
    </xdr:to>
    <xdr:graphicFrame macro="">
      <xdr:nvGraphicFramePr>
        <xdr:cNvPr id="14"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171824</xdr:colOff>
      <xdr:row>48</xdr:row>
      <xdr:rowOff>22412</xdr:rowOff>
    </xdr:from>
    <xdr:to>
      <xdr:col>8</xdr:col>
      <xdr:colOff>467099</xdr:colOff>
      <xdr:row>58</xdr:row>
      <xdr:rowOff>67234</xdr:rowOff>
    </xdr:to>
    <xdr:graphicFrame macro="">
      <xdr:nvGraphicFramePr>
        <xdr:cNvPr id="18" name="Graphique 1">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114300</xdr:colOff>
      <xdr:row>0</xdr:row>
      <xdr:rowOff>66675</xdr:rowOff>
    </xdr:from>
    <xdr:to>
      <xdr:col>6</xdr:col>
      <xdr:colOff>857250</xdr:colOff>
      <xdr:row>0</xdr:row>
      <xdr:rowOff>447675</xdr:rowOff>
    </xdr:to>
    <xdr:pic>
      <xdr:nvPicPr>
        <xdr:cNvPr id="272699" name="Image 1">
          <a:hlinkClick xmlns:r="http://schemas.openxmlformats.org/officeDocument/2006/relationships" r:id="rId1"/>
          <a:extLst>
            <a:ext uri="{FF2B5EF4-FFF2-40B4-BE49-F238E27FC236}">
              <a16:creationId xmlns:a16="http://schemas.microsoft.com/office/drawing/2014/main" id="{00000000-0008-0000-0500-00003B2904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067550" y="66675"/>
          <a:ext cx="742950" cy="381000"/>
        </a:xfrm>
        <a:prstGeom prst="rect">
          <a:avLst/>
        </a:prstGeom>
        <a:noFill/>
        <a:ln w="9525">
          <a:noFill/>
          <a:miter lim="800000"/>
          <a:headEnd/>
          <a:tailEnd/>
        </a:ln>
      </xdr:spPr>
    </xdr:pic>
    <xdr:clientData/>
  </xdr:twoCellAnchor>
  <xdr:twoCellAnchor editAs="oneCell">
    <xdr:from>
      <xdr:col>6</xdr:col>
      <xdr:colOff>933450</xdr:colOff>
      <xdr:row>0</xdr:row>
      <xdr:rowOff>47625</xdr:rowOff>
    </xdr:from>
    <xdr:to>
      <xdr:col>7</xdr:col>
      <xdr:colOff>0</xdr:colOff>
      <xdr:row>0</xdr:row>
      <xdr:rowOff>485775</xdr:rowOff>
    </xdr:to>
    <xdr:pic>
      <xdr:nvPicPr>
        <xdr:cNvPr id="272700" name="Image 2">
          <a:hlinkClick xmlns:r="http://schemas.openxmlformats.org/officeDocument/2006/relationships" r:id="rId3"/>
          <a:extLst>
            <a:ext uri="{FF2B5EF4-FFF2-40B4-BE49-F238E27FC236}">
              <a16:creationId xmlns:a16="http://schemas.microsoft.com/office/drawing/2014/main" id="{00000000-0008-0000-0500-00003C2904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7886700" y="47625"/>
          <a:ext cx="457200" cy="438150"/>
        </a:xfrm>
        <a:prstGeom prst="rect">
          <a:avLst/>
        </a:prstGeom>
        <a:noFill/>
        <a:ln w="9525">
          <a:noFill/>
          <a:miter lim="800000"/>
          <a:headEnd/>
          <a:tailEnd/>
        </a:ln>
      </xdr:spPr>
    </xdr:pic>
    <xdr:clientData/>
  </xdr:twoCellAnchor>
  <xdr:twoCellAnchor>
    <xdr:from>
      <xdr:col>1</xdr:col>
      <xdr:colOff>28575</xdr:colOff>
      <xdr:row>2</xdr:row>
      <xdr:rowOff>28575</xdr:rowOff>
    </xdr:from>
    <xdr:to>
      <xdr:col>2</xdr:col>
      <xdr:colOff>113925</xdr:colOff>
      <xdr:row>3</xdr:row>
      <xdr:rowOff>386235</xdr:rowOff>
    </xdr:to>
    <xdr:sp macro="" textlink="">
      <xdr:nvSpPr>
        <xdr:cNvPr id="13" name="ZoneTexte 12">
          <a:hlinkClick xmlns:r="http://schemas.openxmlformats.org/officeDocument/2006/relationships" r:id="rId5"/>
          <a:extLst>
            <a:ext uri="{FF2B5EF4-FFF2-40B4-BE49-F238E27FC236}">
              <a16:creationId xmlns:a16="http://schemas.microsoft.com/office/drawing/2014/main" id="{00000000-0008-0000-0500-00000D000000}"/>
            </a:ext>
          </a:extLst>
        </xdr:cNvPr>
        <xdr:cNvSpPr txBox="1"/>
      </xdr:nvSpPr>
      <xdr:spPr>
        <a:xfrm>
          <a:off x="241935"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985836</xdr:colOff>
      <xdr:row>2</xdr:row>
      <xdr:rowOff>28575</xdr:rowOff>
    </xdr:from>
    <xdr:to>
      <xdr:col>5</xdr:col>
      <xdr:colOff>1071186</xdr:colOff>
      <xdr:row>3</xdr:row>
      <xdr:rowOff>386235</xdr:rowOff>
    </xdr:to>
    <xdr:sp macro="" textlink="">
      <xdr:nvSpPr>
        <xdr:cNvPr id="14" name="ZoneTexte 13">
          <a:hlinkClick xmlns:r="http://schemas.openxmlformats.org/officeDocument/2006/relationships" r:id="rId6"/>
          <a:extLst>
            <a:ext uri="{FF2B5EF4-FFF2-40B4-BE49-F238E27FC236}">
              <a16:creationId xmlns:a16="http://schemas.microsoft.com/office/drawing/2014/main" id="{00000000-0008-0000-0500-00000E000000}"/>
            </a:ext>
          </a:extLst>
        </xdr:cNvPr>
        <xdr:cNvSpPr txBox="1"/>
      </xdr:nvSpPr>
      <xdr:spPr>
        <a:xfrm>
          <a:off x="5496876"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5</xdr:col>
      <xdr:colOff>1304925</xdr:colOff>
      <xdr:row>2</xdr:row>
      <xdr:rowOff>28575</xdr:rowOff>
    </xdr:from>
    <xdr:to>
      <xdr:col>6</xdr:col>
      <xdr:colOff>1390275</xdr:colOff>
      <xdr:row>3</xdr:row>
      <xdr:rowOff>386235</xdr:rowOff>
    </xdr:to>
    <xdr:sp macro="" textlink="">
      <xdr:nvSpPr>
        <xdr:cNvPr id="15" name="ZoneTexte 14">
          <a:hlinkClick xmlns:r="http://schemas.openxmlformats.org/officeDocument/2006/relationships" r:id="rId7"/>
          <a:extLst>
            <a:ext uri="{FF2B5EF4-FFF2-40B4-BE49-F238E27FC236}">
              <a16:creationId xmlns:a16="http://schemas.microsoft.com/office/drawing/2014/main" id="{00000000-0008-0000-0500-00000F000000}"/>
            </a:ext>
          </a:extLst>
        </xdr:cNvPr>
        <xdr:cNvSpPr txBox="1"/>
      </xdr:nvSpPr>
      <xdr:spPr>
        <a:xfrm>
          <a:off x="7248525"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666749</xdr:colOff>
      <xdr:row>2</xdr:row>
      <xdr:rowOff>28575</xdr:rowOff>
    </xdr:from>
    <xdr:to>
      <xdr:col>4</xdr:col>
      <xdr:colOff>752099</xdr:colOff>
      <xdr:row>3</xdr:row>
      <xdr:rowOff>386235</xdr:rowOff>
    </xdr:to>
    <xdr:sp macro="" textlink="">
      <xdr:nvSpPr>
        <xdr:cNvPr id="16" name="ZoneTexte 15">
          <a:hlinkClick xmlns:r="http://schemas.openxmlformats.org/officeDocument/2006/relationships" r:id="rId8"/>
          <a:extLst>
            <a:ext uri="{FF2B5EF4-FFF2-40B4-BE49-F238E27FC236}">
              <a16:creationId xmlns:a16="http://schemas.microsoft.com/office/drawing/2014/main" id="{00000000-0008-0000-0500-000010000000}"/>
            </a:ext>
          </a:extLst>
        </xdr:cNvPr>
        <xdr:cNvSpPr txBox="1"/>
      </xdr:nvSpPr>
      <xdr:spPr>
        <a:xfrm>
          <a:off x="3745229"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347662</xdr:colOff>
      <xdr:row>2</xdr:row>
      <xdr:rowOff>28575</xdr:rowOff>
    </xdr:from>
    <xdr:to>
      <xdr:col>3</xdr:col>
      <xdr:colOff>433012</xdr:colOff>
      <xdr:row>3</xdr:row>
      <xdr:rowOff>386235</xdr:rowOff>
    </xdr:to>
    <xdr:sp macro="" textlink="">
      <xdr:nvSpPr>
        <xdr:cNvPr id="17" name="ZoneTexte 16">
          <a:hlinkClick xmlns:r="http://schemas.openxmlformats.org/officeDocument/2006/relationships" r:id="rId9"/>
          <a:extLst>
            <a:ext uri="{FF2B5EF4-FFF2-40B4-BE49-F238E27FC236}">
              <a16:creationId xmlns:a16="http://schemas.microsoft.com/office/drawing/2014/main" id="{00000000-0008-0000-0500-000011000000}"/>
            </a:ext>
          </a:extLst>
        </xdr:cNvPr>
        <xdr:cNvSpPr txBox="1"/>
      </xdr:nvSpPr>
      <xdr:spPr>
        <a:xfrm>
          <a:off x="1993582"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114300</xdr:colOff>
      <xdr:row>0</xdr:row>
      <xdr:rowOff>66675</xdr:rowOff>
    </xdr:from>
    <xdr:to>
      <xdr:col>6</xdr:col>
      <xdr:colOff>857250</xdr:colOff>
      <xdr:row>0</xdr:row>
      <xdr:rowOff>447675</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490460" y="66675"/>
          <a:ext cx="742950" cy="381000"/>
        </a:xfrm>
        <a:prstGeom prst="rect">
          <a:avLst/>
        </a:prstGeom>
        <a:noFill/>
        <a:ln w="9525">
          <a:noFill/>
          <a:miter lim="800000"/>
          <a:headEnd/>
          <a:tailEnd/>
        </a:ln>
      </xdr:spPr>
    </xdr:pic>
    <xdr:clientData/>
  </xdr:twoCellAnchor>
  <xdr:twoCellAnchor editAs="oneCell">
    <xdr:from>
      <xdr:col>6</xdr:col>
      <xdr:colOff>933450</xdr:colOff>
      <xdr:row>0</xdr:row>
      <xdr:rowOff>47625</xdr:rowOff>
    </xdr:from>
    <xdr:to>
      <xdr:col>7</xdr:col>
      <xdr:colOff>0</xdr:colOff>
      <xdr:row>0</xdr:row>
      <xdr:rowOff>485775</xdr:rowOff>
    </xdr:to>
    <xdr:pic>
      <xdr:nvPicPr>
        <xdr:cNvPr id="3" name="Image 2">
          <a:hlinkClick xmlns:r="http://schemas.openxmlformats.org/officeDocument/2006/relationships" r:id="rId3"/>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8309610" y="47625"/>
          <a:ext cx="499110" cy="438150"/>
        </a:xfrm>
        <a:prstGeom prst="rect">
          <a:avLst/>
        </a:prstGeom>
        <a:noFill/>
        <a:ln w="9525">
          <a:noFill/>
          <a:miter lim="800000"/>
          <a:headEnd/>
          <a:tailEnd/>
        </a:ln>
      </xdr:spPr>
    </xdr:pic>
    <xdr:clientData/>
  </xdr:twoCellAnchor>
  <xdr:twoCellAnchor>
    <xdr:from>
      <xdr:col>1</xdr:col>
      <xdr:colOff>28575</xdr:colOff>
      <xdr:row>2</xdr:row>
      <xdr:rowOff>28575</xdr:rowOff>
    </xdr:from>
    <xdr:to>
      <xdr:col>2</xdr:col>
      <xdr:colOff>113925</xdr:colOff>
      <xdr:row>3</xdr:row>
      <xdr:rowOff>418425</xdr:rowOff>
    </xdr:to>
    <xdr:sp macro="" textlink="">
      <xdr:nvSpPr>
        <xdr:cNvPr id="4" name="ZoneTexte 12">
          <a:hlinkClick xmlns:r="http://schemas.openxmlformats.org/officeDocument/2006/relationships" r:id="rId5"/>
          <a:extLst>
            <a:ext uri="{FF2B5EF4-FFF2-40B4-BE49-F238E27FC236}">
              <a16:creationId xmlns:a16="http://schemas.microsoft.com/office/drawing/2014/main" id="{00000000-0008-0000-0600-000004000000}"/>
            </a:ext>
          </a:extLst>
        </xdr:cNvPr>
        <xdr:cNvSpPr txBox="1"/>
      </xdr:nvSpPr>
      <xdr:spPr>
        <a:xfrm>
          <a:off x="241935"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985836</xdr:colOff>
      <xdr:row>2</xdr:row>
      <xdr:rowOff>28575</xdr:rowOff>
    </xdr:from>
    <xdr:to>
      <xdr:col>5</xdr:col>
      <xdr:colOff>1071186</xdr:colOff>
      <xdr:row>3</xdr:row>
      <xdr:rowOff>418425</xdr:rowOff>
    </xdr:to>
    <xdr:sp macro="" textlink="">
      <xdr:nvSpPr>
        <xdr:cNvPr id="5" name="ZoneTexte 13">
          <a:hlinkClick xmlns:r="http://schemas.openxmlformats.org/officeDocument/2006/relationships" r:id="rId6"/>
          <a:extLst>
            <a:ext uri="{FF2B5EF4-FFF2-40B4-BE49-F238E27FC236}">
              <a16:creationId xmlns:a16="http://schemas.microsoft.com/office/drawing/2014/main" id="{00000000-0008-0000-0600-000005000000}"/>
            </a:ext>
          </a:extLst>
        </xdr:cNvPr>
        <xdr:cNvSpPr txBox="1"/>
      </xdr:nvSpPr>
      <xdr:spPr>
        <a:xfrm>
          <a:off x="5496876"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5</xdr:col>
      <xdr:colOff>1304925</xdr:colOff>
      <xdr:row>2</xdr:row>
      <xdr:rowOff>28575</xdr:rowOff>
    </xdr:from>
    <xdr:to>
      <xdr:col>6</xdr:col>
      <xdr:colOff>1390275</xdr:colOff>
      <xdr:row>3</xdr:row>
      <xdr:rowOff>418425</xdr:rowOff>
    </xdr:to>
    <xdr:sp macro="" textlink="">
      <xdr:nvSpPr>
        <xdr:cNvPr id="6" name="ZoneTexte 14">
          <a:hlinkClick xmlns:r="http://schemas.openxmlformats.org/officeDocument/2006/relationships" r:id="rId7"/>
          <a:extLst>
            <a:ext uri="{FF2B5EF4-FFF2-40B4-BE49-F238E27FC236}">
              <a16:creationId xmlns:a16="http://schemas.microsoft.com/office/drawing/2014/main" id="{00000000-0008-0000-0600-000006000000}"/>
            </a:ext>
          </a:extLst>
        </xdr:cNvPr>
        <xdr:cNvSpPr txBox="1"/>
      </xdr:nvSpPr>
      <xdr:spPr>
        <a:xfrm>
          <a:off x="7248525"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666749</xdr:colOff>
      <xdr:row>2</xdr:row>
      <xdr:rowOff>28575</xdr:rowOff>
    </xdr:from>
    <xdr:to>
      <xdr:col>4</xdr:col>
      <xdr:colOff>752099</xdr:colOff>
      <xdr:row>3</xdr:row>
      <xdr:rowOff>418425</xdr:rowOff>
    </xdr:to>
    <xdr:sp macro="" textlink="">
      <xdr:nvSpPr>
        <xdr:cNvPr id="7" name="ZoneTexte 15">
          <a:hlinkClick xmlns:r="http://schemas.openxmlformats.org/officeDocument/2006/relationships" r:id="rId8"/>
          <a:extLst>
            <a:ext uri="{FF2B5EF4-FFF2-40B4-BE49-F238E27FC236}">
              <a16:creationId xmlns:a16="http://schemas.microsoft.com/office/drawing/2014/main" id="{00000000-0008-0000-0600-000007000000}"/>
            </a:ext>
          </a:extLst>
        </xdr:cNvPr>
        <xdr:cNvSpPr txBox="1"/>
      </xdr:nvSpPr>
      <xdr:spPr>
        <a:xfrm>
          <a:off x="3745229"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347662</xdr:colOff>
      <xdr:row>2</xdr:row>
      <xdr:rowOff>28575</xdr:rowOff>
    </xdr:from>
    <xdr:to>
      <xdr:col>3</xdr:col>
      <xdr:colOff>433012</xdr:colOff>
      <xdr:row>3</xdr:row>
      <xdr:rowOff>418425</xdr:rowOff>
    </xdr:to>
    <xdr:sp macro="" textlink="">
      <xdr:nvSpPr>
        <xdr:cNvPr id="8" name="ZoneTexte 16">
          <a:hlinkClick xmlns:r="http://schemas.openxmlformats.org/officeDocument/2006/relationships" r:id="rId9"/>
          <a:extLst>
            <a:ext uri="{FF2B5EF4-FFF2-40B4-BE49-F238E27FC236}">
              <a16:creationId xmlns:a16="http://schemas.microsoft.com/office/drawing/2014/main" id="{00000000-0008-0000-0600-000008000000}"/>
            </a:ext>
          </a:extLst>
        </xdr:cNvPr>
        <xdr:cNvSpPr txBox="1"/>
      </xdr:nvSpPr>
      <xdr:spPr>
        <a:xfrm>
          <a:off x="1993582"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editAs="oneCell">
    <xdr:from>
      <xdr:col>1</xdr:col>
      <xdr:colOff>0</xdr:colOff>
      <xdr:row>40</xdr:row>
      <xdr:rowOff>0</xdr:rowOff>
    </xdr:from>
    <xdr:to>
      <xdr:col>6</xdr:col>
      <xdr:colOff>694101</xdr:colOff>
      <xdr:row>58</xdr:row>
      <xdr:rowOff>129813</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213360" y="4983480"/>
          <a:ext cx="7856901" cy="3147333"/>
        </a:xfrm>
        <a:prstGeom prst="rect">
          <a:avLst/>
        </a:prstGeom>
      </xdr:spPr>
    </xdr:pic>
    <xdr:clientData/>
  </xdr:twoCellAnchor>
  <xdr:twoCellAnchor editAs="oneCell">
    <xdr:from>
      <xdr:col>1</xdr:col>
      <xdr:colOff>0</xdr:colOff>
      <xdr:row>61</xdr:row>
      <xdr:rowOff>0</xdr:rowOff>
    </xdr:from>
    <xdr:to>
      <xdr:col>5</xdr:col>
      <xdr:colOff>259599</xdr:colOff>
      <xdr:row>82</xdr:row>
      <xdr:rowOff>68891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xfrm>
          <a:off x="213360" y="8503920"/>
          <a:ext cx="5989839" cy="3589331"/>
        </a:xfrm>
        <a:prstGeom prst="rect">
          <a:avLst/>
        </a:prstGeom>
      </xdr:spPr>
    </xdr:pic>
    <xdr:clientData/>
  </xdr:twoCellAnchor>
  <xdr:twoCellAnchor editAs="oneCell">
    <xdr:from>
      <xdr:col>1</xdr:col>
      <xdr:colOff>0</xdr:colOff>
      <xdr:row>84</xdr:row>
      <xdr:rowOff>0</xdr:rowOff>
    </xdr:from>
    <xdr:to>
      <xdr:col>5</xdr:col>
      <xdr:colOff>236737</xdr:colOff>
      <xdr:row>115</xdr:row>
      <xdr:rowOff>61416</xdr:rowOff>
    </xdr:to>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213360" y="12359640"/>
          <a:ext cx="5966977" cy="5258256"/>
        </a:xfrm>
        <a:prstGeom prst="rect">
          <a:avLst/>
        </a:prstGeom>
      </xdr:spPr>
    </xdr:pic>
    <xdr:clientData/>
  </xdr:twoCellAnchor>
  <xdr:twoCellAnchor editAs="oneCell">
    <xdr:from>
      <xdr:col>1</xdr:col>
      <xdr:colOff>0</xdr:colOff>
      <xdr:row>116</xdr:row>
      <xdr:rowOff>0</xdr:rowOff>
    </xdr:from>
    <xdr:to>
      <xdr:col>5</xdr:col>
      <xdr:colOff>244358</xdr:colOff>
      <xdr:row>140</xdr:row>
      <xdr:rowOff>145141</xdr:rowOff>
    </xdr:to>
    <xdr:pic>
      <xdr:nvPicPr>
        <xdr:cNvPr id="12" name="Picture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xfrm>
          <a:off x="213360" y="17724120"/>
          <a:ext cx="5974598" cy="416850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2619375</xdr:colOff>
      <xdr:row>0</xdr:row>
      <xdr:rowOff>19050</xdr:rowOff>
    </xdr:from>
    <xdr:to>
      <xdr:col>4</xdr:col>
      <xdr:colOff>3362325</xdr:colOff>
      <xdr:row>0</xdr:row>
      <xdr:rowOff>400050</xdr:rowOff>
    </xdr:to>
    <xdr:pic>
      <xdr:nvPicPr>
        <xdr:cNvPr id="5499" name="Image 4">
          <a:hlinkClick xmlns:r="http://schemas.openxmlformats.org/officeDocument/2006/relationships" r:id="rId1"/>
          <a:extLst>
            <a:ext uri="{FF2B5EF4-FFF2-40B4-BE49-F238E27FC236}">
              <a16:creationId xmlns:a16="http://schemas.microsoft.com/office/drawing/2014/main" id="{00000000-0008-0000-0700-00007B15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8543925" y="19050"/>
          <a:ext cx="742950" cy="381000"/>
        </a:xfrm>
        <a:prstGeom prst="rect">
          <a:avLst/>
        </a:prstGeom>
        <a:noFill/>
        <a:ln w="9525">
          <a:noFill/>
          <a:miter lim="800000"/>
          <a:headEnd/>
          <a:tailEnd/>
        </a:ln>
      </xdr:spPr>
    </xdr:pic>
    <xdr:clientData/>
  </xdr:twoCellAnchor>
  <xdr:twoCellAnchor editAs="oneCell">
    <xdr:from>
      <xdr:col>4</xdr:col>
      <xdr:colOff>3409950</xdr:colOff>
      <xdr:row>0</xdr:row>
      <xdr:rowOff>0</xdr:rowOff>
    </xdr:from>
    <xdr:to>
      <xdr:col>4</xdr:col>
      <xdr:colOff>3867150</xdr:colOff>
      <xdr:row>0</xdr:row>
      <xdr:rowOff>438150</xdr:rowOff>
    </xdr:to>
    <xdr:pic>
      <xdr:nvPicPr>
        <xdr:cNvPr id="5500" name="Image 5">
          <a:hlinkClick xmlns:r="http://schemas.openxmlformats.org/officeDocument/2006/relationships" r:id="rId3"/>
          <a:extLst>
            <a:ext uri="{FF2B5EF4-FFF2-40B4-BE49-F238E27FC236}">
              <a16:creationId xmlns:a16="http://schemas.microsoft.com/office/drawing/2014/main" id="{00000000-0008-0000-0700-00007C15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9334500" y="0"/>
          <a:ext cx="457200" cy="438150"/>
        </a:xfrm>
        <a:prstGeom prst="rect">
          <a:avLst/>
        </a:prstGeom>
        <a:noFill/>
        <a:ln w="9525">
          <a:noFill/>
          <a:miter lim="800000"/>
          <a:headEnd/>
          <a:tailEnd/>
        </a:ln>
      </xdr:spPr>
    </xdr:pic>
    <xdr:clientData/>
  </xdr:twoCellAnchor>
  <xdr:twoCellAnchor>
    <xdr:from>
      <xdr:col>0</xdr:col>
      <xdr:colOff>304800</xdr:colOff>
      <xdr:row>1</xdr:row>
      <xdr:rowOff>109537</xdr:rowOff>
    </xdr:from>
    <xdr:to>
      <xdr:col>0</xdr:col>
      <xdr:colOff>2104800</xdr:colOff>
      <xdr:row>3</xdr:row>
      <xdr:rowOff>96697</xdr:rowOff>
    </xdr:to>
    <xdr:sp macro="" textlink="">
      <xdr:nvSpPr>
        <xdr:cNvPr id="8" name="ZoneTexte 7">
          <a:hlinkClick xmlns:r="http://schemas.openxmlformats.org/officeDocument/2006/relationships" r:id="rId5"/>
          <a:extLst>
            <a:ext uri="{FF2B5EF4-FFF2-40B4-BE49-F238E27FC236}">
              <a16:creationId xmlns:a16="http://schemas.microsoft.com/office/drawing/2014/main" id="{00000000-0008-0000-0700-000008000000}"/>
            </a:ext>
          </a:extLst>
        </xdr:cNvPr>
        <xdr:cNvSpPr txBox="1"/>
      </xdr:nvSpPr>
      <xdr:spPr>
        <a:xfrm>
          <a:off x="304800"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2063750</xdr:colOff>
      <xdr:row>1</xdr:row>
      <xdr:rowOff>109537</xdr:rowOff>
    </xdr:from>
    <xdr:to>
      <xdr:col>4</xdr:col>
      <xdr:colOff>3863750</xdr:colOff>
      <xdr:row>3</xdr:row>
      <xdr:rowOff>96697</xdr:rowOff>
    </xdr:to>
    <xdr:sp macro="" textlink="">
      <xdr:nvSpPr>
        <xdr:cNvPr id="9" name="ZoneTexte 8">
          <a:hlinkClick xmlns:r="http://schemas.openxmlformats.org/officeDocument/2006/relationships" r:id="rId6"/>
          <a:extLst>
            <a:ext uri="{FF2B5EF4-FFF2-40B4-BE49-F238E27FC236}">
              <a16:creationId xmlns:a16="http://schemas.microsoft.com/office/drawing/2014/main" id="{00000000-0008-0000-0700-000009000000}"/>
            </a:ext>
          </a:extLst>
        </xdr:cNvPr>
        <xdr:cNvSpPr txBox="1"/>
      </xdr:nvSpPr>
      <xdr:spPr>
        <a:xfrm>
          <a:off x="8159750"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578908</xdr:colOff>
      <xdr:row>1</xdr:row>
      <xdr:rowOff>109537</xdr:rowOff>
    </xdr:from>
    <xdr:to>
      <xdr:col>4</xdr:col>
      <xdr:colOff>1274008</xdr:colOff>
      <xdr:row>3</xdr:row>
      <xdr:rowOff>96697</xdr:rowOff>
    </xdr:to>
    <xdr:sp macro="" textlink="">
      <xdr:nvSpPr>
        <xdr:cNvPr id="12" name="ZoneTexte 11">
          <a:hlinkClick xmlns:r="http://schemas.openxmlformats.org/officeDocument/2006/relationships" r:id="rId7"/>
          <a:extLst>
            <a:ext uri="{FF2B5EF4-FFF2-40B4-BE49-F238E27FC236}">
              <a16:creationId xmlns:a16="http://schemas.microsoft.com/office/drawing/2014/main" id="{00000000-0008-0000-0700-00000C000000}"/>
            </a:ext>
          </a:extLst>
        </xdr:cNvPr>
        <xdr:cNvSpPr txBox="1"/>
      </xdr:nvSpPr>
      <xdr:spPr>
        <a:xfrm>
          <a:off x="5570008"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1</xdr:col>
      <xdr:colOff>379941</xdr:colOff>
      <xdr:row>1</xdr:row>
      <xdr:rowOff>109537</xdr:rowOff>
    </xdr:from>
    <xdr:to>
      <xdr:col>2</xdr:col>
      <xdr:colOff>915021</xdr:colOff>
      <xdr:row>3</xdr:row>
      <xdr:rowOff>96697</xdr:rowOff>
    </xdr:to>
    <xdr:sp macro="" textlink="">
      <xdr:nvSpPr>
        <xdr:cNvPr id="15" name="ZoneTexte 14">
          <a:hlinkClick xmlns:r="http://schemas.openxmlformats.org/officeDocument/2006/relationships" r:id="rId8"/>
          <a:extLst>
            <a:ext uri="{FF2B5EF4-FFF2-40B4-BE49-F238E27FC236}">
              <a16:creationId xmlns:a16="http://schemas.microsoft.com/office/drawing/2014/main" id="{00000000-0008-0000-0700-00000F000000}"/>
            </a:ext>
          </a:extLst>
        </xdr:cNvPr>
        <xdr:cNvSpPr txBox="1"/>
      </xdr:nvSpPr>
      <xdr:spPr>
        <a:xfrm>
          <a:off x="2940261"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5958840</xdr:colOff>
      <xdr:row>0</xdr:row>
      <xdr:rowOff>104774</xdr:rowOff>
    </xdr:from>
    <xdr:to>
      <xdr:col>3</xdr:col>
      <xdr:colOff>6701790</xdr:colOff>
      <xdr:row>0</xdr:row>
      <xdr:rowOff>419099</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825740" y="104774"/>
          <a:ext cx="742950" cy="314325"/>
        </a:xfrm>
        <a:prstGeom prst="rect">
          <a:avLst/>
        </a:prstGeom>
        <a:noFill/>
        <a:ln w="9525">
          <a:noFill/>
          <a:miter lim="800000"/>
          <a:headEnd/>
          <a:tailEnd/>
        </a:ln>
      </xdr:spPr>
    </xdr:pic>
    <xdr:clientData/>
  </xdr:twoCellAnchor>
  <xdr:twoCellAnchor editAs="oneCell">
    <xdr:from>
      <xdr:col>3</xdr:col>
      <xdr:colOff>6777990</xdr:colOff>
      <xdr:row>0</xdr:row>
      <xdr:rowOff>85725</xdr:rowOff>
    </xdr:from>
    <xdr:to>
      <xdr:col>4</xdr:col>
      <xdr:colOff>1905</xdr:colOff>
      <xdr:row>0</xdr:row>
      <xdr:rowOff>460497</xdr:rowOff>
    </xdr:to>
    <xdr:pic>
      <xdr:nvPicPr>
        <xdr:cNvPr id="3" name="Image 2">
          <a:hlinkClick xmlns:r="http://schemas.openxmlformats.org/officeDocument/2006/relationships" r:id="rId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8644890" y="85725"/>
          <a:ext cx="377190" cy="374772"/>
        </a:xfrm>
        <a:prstGeom prst="rect">
          <a:avLst/>
        </a:prstGeom>
        <a:noFill/>
        <a:ln w="9525">
          <a:noFill/>
          <a:miter lim="800000"/>
          <a:headEnd/>
          <a:tailEnd/>
        </a:ln>
      </xdr:spPr>
    </xdr:pic>
    <xdr:clientData/>
  </xdr:twoCellAnchor>
  <xdr:twoCellAnchor>
    <xdr:from>
      <xdr:col>1</xdr:col>
      <xdr:colOff>28575</xdr:colOff>
      <xdr:row>1</xdr:row>
      <xdr:rowOff>81915</xdr:rowOff>
    </xdr:from>
    <xdr:to>
      <xdr:col>2</xdr:col>
      <xdr:colOff>976275</xdr:colOff>
      <xdr:row>3</xdr:row>
      <xdr:rowOff>304125</xdr:rowOff>
    </xdr:to>
    <xdr:sp macro="" textlink="">
      <xdr:nvSpPr>
        <xdr:cNvPr id="4" name="ZoneTexte 12">
          <a:hlinkClick xmlns:r="http://schemas.openxmlformats.org/officeDocument/2006/relationships" r:id="rId5"/>
          <a:extLst>
            <a:ext uri="{FF2B5EF4-FFF2-40B4-BE49-F238E27FC236}">
              <a16:creationId xmlns:a16="http://schemas.microsoft.com/office/drawing/2014/main" id="{00000000-0008-0000-0800-000004000000}"/>
            </a:ext>
          </a:extLst>
        </xdr:cNvPr>
        <xdr:cNvSpPr txBox="1"/>
      </xdr:nvSpPr>
      <xdr:spPr>
        <a:xfrm>
          <a:off x="234315"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3896679</xdr:colOff>
      <xdr:row>1</xdr:row>
      <xdr:rowOff>81915</xdr:rowOff>
    </xdr:from>
    <xdr:to>
      <xdr:col>3</xdr:col>
      <xdr:colOff>5415879</xdr:colOff>
      <xdr:row>3</xdr:row>
      <xdr:rowOff>304125</xdr:rowOff>
    </xdr:to>
    <xdr:sp macro="" textlink="">
      <xdr:nvSpPr>
        <xdr:cNvPr id="5" name="ZoneTexte 13">
          <a:hlinkClick xmlns:r="http://schemas.openxmlformats.org/officeDocument/2006/relationships" r:id="rId6"/>
          <a:extLst>
            <a:ext uri="{FF2B5EF4-FFF2-40B4-BE49-F238E27FC236}">
              <a16:creationId xmlns:a16="http://schemas.microsoft.com/office/drawing/2014/main" id="{00000000-0008-0000-0800-000005000000}"/>
            </a:ext>
          </a:extLst>
        </xdr:cNvPr>
        <xdr:cNvSpPr txBox="1"/>
      </xdr:nvSpPr>
      <xdr:spPr>
        <a:xfrm>
          <a:off x="5763579"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5739765</xdr:colOff>
      <xdr:row>1</xdr:row>
      <xdr:rowOff>81915</xdr:rowOff>
    </xdr:from>
    <xdr:to>
      <xdr:col>3</xdr:col>
      <xdr:colOff>7258965</xdr:colOff>
      <xdr:row>3</xdr:row>
      <xdr:rowOff>304125</xdr:rowOff>
    </xdr:to>
    <xdr:sp macro="" textlink="">
      <xdr:nvSpPr>
        <xdr:cNvPr id="6" name="ZoneTexte 14">
          <a:hlinkClick xmlns:r="http://schemas.openxmlformats.org/officeDocument/2006/relationships" r:id="rId7"/>
          <a:extLst>
            <a:ext uri="{FF2B5EF4-FFF2-40B4-BE49-F238E27FC236}">
              <a16:creationId xmlns:a16="http://schemas.microsoft.com/office/drawing/2014/main" id="{00000000-0008-0000-0800-000006000000}"/>
            </a:ext>
          </a:extLst>
        </xdr:cNvPr>
        <xdr:cNvSpPr txBox="1"/>
      </xdr:nvSpPr>
      <xdr:spPr>
        <a:xfrm>
          <a:off x="7606665"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2053591</xdr:colOff>
      <xdr:row>1</xdr:row>
      <xdr:rowOff>81915</xdr:rowOff>
    </xdr:from>
    <xdr:to>
      <xdr:col>3</xdr:col>
      <xdr:colOff>3572791</xdr:colOff>
      <xdr:row>3</xdr:row>
      <xdr:rowOff>304125</xdr:rowOff>
    </xdr:to>
    <xdr:sp macro="" textlink="">
      <xdr:nvSpPr>
        <xdr:cNvPr id="7" name="ZoneTexte 15">
          <a:hlinkClick xmlns:r="http://schemas.openxmlformats.org/officeDocument/2006/relationships" r:id="rId8"/>
          <a:extLst>
            <a:ext uri="{FF2B5EF4-FFF2-40B4-BE49-F238E27FC236}">
              <a16:creationId xmlns:a16="http://schemas.microsoft.com/office/drawing/2014/main" id="{00000000-0008-0000-0800-000007000000}"/>
            </a:ext>
          </a:extLst>
        </xdr:cNvPr>
        <xdr:cNvSpPr txBox="1"/>
      </xdr:nvSpPr>
      <xdr:spPr>
        <a:xfrm>
          <a:off x="3920491"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210503</xdr:colOff>
      <xdr:row>1</xdr:row>
      <xdr:rowOff>81915</xdr:rowOff>
    </xdr:from>
    <xdr:to>
      <xdr:col>3</xdr:col>
      <xdr:colOff>1729703</xdr:colOff>
      <xdr:row>3</xdr:row>
      <xdr:rowOff>304125</xdr:rowOff>
    </xdr:to>
    <xdr:sp macro="" textlink="">
      <xdr:nvSpPr>
        <xdr:cNvPr id="8" name="ZoneTexte 16">
          <a:hlinkClick xmlns:r="http://schemas.openxmlformats.org/officeDocument/2006/relationships" r:id="rId9"/>
          <a:extLst>
            <a:ext uri="{FF2B5EF4-FFF2-40B4-BE49-F238E27FC236}">
              <a16:creationId xmlns:a16="http://schemas.microsoft.com/office/drawing/2014/main" id="{00000000-0008-0000-0800-000008000000}"/>
            </a:ext>
          </a:extLst>
        </xdr:cNvPr>
        <xdr:cNvSpPr txBox="1"/>
      </xdr:nvSpPr>
      <xdr:spPr>
        <a:xfrm>
          <a:off x="2077403"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1352550</xdr:colOff>
      <xdr:row>49</xdr:row>
      <xdr:rowOff>47625</xdr:rowOff>
    </xdr:from>
    <xdr:to>
      <xdr:col>4</xdr:col>
      <xdr:colOff>1181100</xdr:colOff>
      <xdr:row>55</xdr:row>
      <xdr:rowOff>0</xdr:rowOff>
    </xdr:to>
    <xdr:pic>
      <xdr:nvPicPr>
        <xdr:cNvPr id="1338" name="Image 1">
          <a:hlinkClick xmlns:r="http://schemas.openxmlformats.org/officeDocument/2006/relationships" r:id="rId1"/>
          <a:extLst>
            <a:ext uri="{FF2B5EF4-FFF2-40B4-BE49-F238E27FC236}">
              <a16:creationId xmlns:a16="http://schemas.microsoft.com/office/drawing/2014/main" id="{00000000-0008-0000-0100-00003A05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419600" y="7829550"/>
          <a:ext cx="2724150" cy="923925"/>
        </a:xfrm>
        <a:prstGeom prst="rect">
          <a:avLst/>
        </a:prstGeom>
        <a:noFill/>
        <a:ln w="9525">
          <a:noFill/>
          <a:miter lim="800000"/>
          <a:headEnd/>
          <a:tailEnd/>
        </a:ln>
      </xdr:spPr>
    </xdr:pic>
    <xdr:clientData/>
  </xdr:twoCellAnchor>
  <xdr:twoCellAnchor editAs="oneCell">
    <xdr:from>
      <xdr:col>0</xdr:col>
      <xdr:colOff>800100</xdr:colOff>
      <xdr:row>49</xdr:row>
      <xdr:rowOff>104775</xdr:rowOff>
    </xdr:from>
    <xdr:to>
      <xdr:col>2</xdr:col>
      <xdr:colOff>552450</xdr:colOff>
      <xdr:row>54</xdr:row>
      <xdr:rowOff>104775</xdr:rowOff>
    </xdr:to>
    <xdr:pic>
      <xdr:nvPicPr>
        <xdr:cNvPr id="1339" name="Image 2">
          <a:hlinkClick xmlns:r="http://schemas.openxmlformats.org/officeDocument/2006/relationships" r:id="rId3"/>
          <a:extLst>
            <a:ext uri="{FF2B5EF4-FFF2-40B4-BE49-F238E27FC236}">
              <a16:creationId xmlns:a16="http://schemas.microsoft.com/office/drawing/2014/main" id="{00000000-0008-0000-0100-00003B05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800100" y="7886700"/>
          <a:ext cx="2647950" cy="809625"/>
        </a:xfrm>
        <a:prstGeom prst="rect">
          <a:avLst/>
        </a:prstGeom>
        <a:noFill/>
        <a:ln w="9525">
          <a:noFill/>
          <a:miter lim="800000"/>
          <a:headEnd/>
          <a:tailEnd/>
        </a:ln>
      </xdr:spPr>
    </xdr:pic>
    <xdr:clientData/>
  </xdr:twoCellAnchor>
  <xdr:twoCellAnchor editAs="oneCell">
    <xdr:from>
      <xdr:col>5</xdr:col>
      <xdr:colOff>85725</xdr:colOff>
      <xdr:row>0</xdr:row>
      <xdr:rowOff>38100</xdr:rowOff>
    </xdr:from>
    <xdr:to>
      <xdr:col>5</xdr:col>
      <xdr:colOff>828675</xdr:colOff>
      <xdr:row>0</xdr:row>
      <xdr:rowOff>419100</xdr:rowOff>
    </xdr:to>
    <xdr:pic>
      <xdr:nvPicPr>
        <xdr:cNvPr id="1340" name="Image 3">
          <a:hlinkClick xmlns:r="http://schemas.openxmlformats.org/officeDocument/2006/relationships" r:id="rId3"/>
          <a:extLst>
            <a:ext uri="{FF2B5EF4-FFF2-40B4-BE49-F238E27FC236}">
              <a16:creationId xmlns:a16="http://schemas.microsoft.com/office/drawing/2014/main" id="{00000000-0008-0000-0100-00003C050000}"/>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7324725" y="38100"/>
          <a:ext cx="742950" cy="381000"/>
        </a:xfrm>
        <a:prstGeom prst="rect">
          <a:avLst/>
        </a:prstGeom>
        <a:noFill/>
        <a:ln w="9525">
          <a:noFill/>
          <a:miter lim="800000"/>
          <a:headEnd/>
          <a:tailEnd/>
        </a:ln>
      </xdr:spPr>
    </xdr:pic>
    <xdr:clientData/>
  </xdr:twoCellAnchor>
  <xdr:twoCellAnchor editAs="oneCell">
    <xdr:from>
      <xdr:col>5</xdr:col>
      <xdr:colOff>904875</xdr:colOff>
      <xdr:row>0</xdr:row>
      <xdr:rowOff>19050</xdr:rowOff>
    </xdr:from>
    <xdr:to>
      <xdr:col>5</xdr:col>
      <xdr:colOff>1362075</xdr:colOff>
      <xdr:row>0</xdr:row>
      <xdr:rowOff>457200</xdr:rowOff>
    </xdr:to>
    <xdr:pic>
      <xdr:nvPicPr>
        <xdr:cNvPr id="1341" name="Image 4">
          <a:hlinkClick xmlns:r="http://schemas.openxmlformats.org/officeDocument/2006/relationships" r:id="rId1"/>
          <a:extLst>
            <a:ext uri="{FF2B5EF4-FFF2-40B4-BE49-F238E27FC236}">
              <a16:creationId xmlns:a16="http://schemas.microsoft.com/office/drawing/2014/main" id="{00000000-0008-0000-0100-00003D05000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8143875" y="19050"/>
          <a:ext cx="457200" cy="438150"/>
        </a:xfrm>
        <a:prstGeom prst="rect">
          <a:avLst/>
        </a:prstGeom>
        <a:noFill/>
        <a:ln w="9525">
          <a:noFill/>
          <a:miter lim="800000"/>
          <a:headEnd/>
          <a:tailEnd/>
        </a:ln>
      </xdr:spPr>
    </xdr:pic>
    <xdr:clientData/>
  </xdr:twoCellAnchor>
  <xdr:twoCellAnchor>
    <xdr:from>
      <xdr:col>2</xdr:col>
      <xdr:colOff>70485</xdr:colOff>
      <xdr:row>5</xdr:row>
      <xdr:rowOff>66675</xdr:rowOff>
    </xdr:from>
    <xdr:to>
      <xdr:col>3</xdr:col>
      <xdr:colOff>1394460</xdr:colOff>
      <xdr:row>10</xdr:row>
      <xdr:rowOff>58575</xdr:rowOff>
    </xdr:to>
    <xdr:sp macro="" textlink="">
      <xdr:nvSpPr>
        <xdr:cNvPr id="7" name="ZoneTexte 6">
          <a:hlinkClick xmlns:r="http://schemas.openxmlformats.org/officeDocument/2006/relationships" r:id="rId7"/>
          <a:extLst>
            <a:ext uri="{FF2B5EF4-FFF2-40B4-BE49-F238E27FC236}">
              <a16:creationId xmlns:a16="http://schemas.microsoft.com/office/drawing/2014/main" id="{00000000-0008-0000-0100-000007000000}"/>
            </a:ext>
          </a:extLst>
        </xdr:cNvPr>
        <xdr:cNvSpPr txBox="1"/>
      </xdr:nvSpPr>
      <xdr:spPr>
        <a:xfrm>
          <a:off x="3042285" y="1438275"/>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12</xdr:row>
      <xdr:rowOff>81914</xdr:rowOff>
    </xdr:from>
    <xdr:to>
      <xdr:col>3</xdr:col>
      <xdr:colOff>1394460</xdr:colOff>
      <xdr:row>17</xdr:row>
      <xdr:rowOff>73814</xdr:rowOff>
    </xdr:to>
    <xdr:sp macro="" textlink="">
      <xdr:nvSpPr>
        <xdr:cNvPr id="8" name="ZoneTexte 7">
          <a:hlinkClick xmlns:r="http://schemas.openxmlformats.org/officeDocument/2006/relationships" r:id="rId8"/>
          <a:extLst>
            <a:ext uri="{FF2B5EF4-FFF2-40B4-BE49-F238E27FC236}">
              <a16:creationId xmlns:a16="http://schemas.microsoft.com/office/drawing/2014/main" id="{00000000-0008-0000-0100-000008000000}"/>
            </a:ext>
          </a:extLst>
        </xdr:cNvPr>
        <xdr:cNvSpPr txBox="1"/>
      </xdr:nvSpPr>
      <xdr:spPr>
        <a:xfrm>
          <a:off x="3042285" y="2672714"/>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VOS 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19</xdr:row>
      <xdr:rowOff>72390</xdr:rowOff>
    </xdr:from>
    <xdr:to>
      <xdr:col>3</xdr:col>
      <xdr:colOff>1394460</xdr:colOff>
      <xdr:row>24</xdr:row>
      <xdr:rowOff>64290</xdr:rowOff>
    </xdr:to>
    <xdr:sp macro="" textlink="">
      <xdr:nvSpPr>
        <xdr:cNvPr id="9" name="ZoneTexte 8">
          <a:hlinkClick xmlns:r="http://schemas.openxmlformats.org/officeDocument/2006/relationships" r:id="rId9"/>
          <a:extLst>
            <a:ext uri="{FF2B5EF4-FFF2-40B4-BE49-F238E27FC236}">
              <a16:creationId xmlns:a16="http://schemas.microsoft.com/office/drawing/2014/main" id="{00000000-0008-0000-0100-000009000000}"/>
            </a:ext>
          </a:extLst>
        </xdr:cNvPr>
        <xdr:cNvSpPr txBox="1"/>
      </xdr:nvSpPr>
      <xdr:spPr>
        <a:xfrm>
          <a:off x="3042285" y="4126230"/>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26</xdr:row>
      <xdr:rowOff>78104</xdr:rowOff>
    </xdr:from>
    <xdr:to>
      <xdr:col>3</xdr:col>
      <xdr:colOff>1394460</xdr:colOff>
      <xdr:row>31</xdr:row>
      <xdr:rowOff>70004</xdr:rowOff>
    </xdr:to>
    <xdr:sp macro="" textlink="">
      <xdr:nvSpPr>
        <xdr:cNvPr id="12" name="ZoneTexte 11">
          <a:hlinkClick xmlns:r="http://schemas.openxmlformats.org/officeDocument/2006/relationships" r:id="rId10"/>
          <a:extLst>
            <a:ext uri="{FF2B5EF4-FFF2-40B4-BE49-F238E27FC236}">
              <a16:creationId xmlns:a16="http://schemas.microsoft.com/office/drawing/2014/main" id="{00000000-0008-0000-0100-00000C000000}"/>
            </a:ext>
          </a:extLst>
        </xdr:cNvPr>
        <xdr:cNvSpPr txBox="1"/>
      </xdr:nvSpPr>
      <xdr:spPr>
        <a:xfrm>
          <a:off x="3042285" y="5351144"/>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33</xdr:row>
      <xdr:rowOff>83820</xdr:rowOff>
    </xdr:from>
    <xdr:to>
      <xdr:col>3</xdr:col>
      <xdr:colOff>1394460</xdr:colOff>
      <xdr:row>38</xdr:row>
      <xdr:rowOff>75720</xdr:rowOff>
    </xdr:to>
    <xdr:sp macro="" textlink="">
      <xdr:nvSpPr>
        <xdr:cNvPr id="13" name="ZoneTexte 12">
          <a:hlinkClick xmlns:r="http://schemas.openxmlformats.org/officeDocument/2006/relationships" r:id="rId11"/>
          <a:extLst>
            <a:ext uri="{FF2B5EF4-FFF2-40B4-BE49-F238E27FC236}">
              <a16:creationId xmlns:a16="http://schemas.microsoft.com/office/drawing/2014/main" id="{00000000-0008-0000-0100-00000D000000}"/>
            </a:ext>
          </a:extLst>
        </xdr:cNvPr>
        <xdr:cNvSpPr txBox="1"/>
      </xdr:nvSpPr>
      <xdr:spPr>
        <a:xfrm>
          <a:off x="3042285" y="6553200"/>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FOIRE AUX QUESTIONS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40</xdr:row>
      <xdr:rowOff>74295</xdr:rowOff>
    </xdr:from>
    <xdr:to>
      <xdr:col>3</xdr:col>
      <xdr:colOff>1394460</xdr:colOff>
      <xdr:row>45</xdr:row>
      <xdr:rowOff>66195</xdr:rowOff>
    </xdr:to>
    <xdr:sp macro="" textlink="">
      <xdr:nvSpPr>
        <xdr:cNvPr id="14" name="ZoneTexte 13">
          <a:hlinkClick xmlns:r="http://schemas.openxmlformats.org/officeDocument/2006/relationships" r:id="rId12"/>
          <a:extLst>
            <a:ext uri="{FF2B5EF4-FFF2-40B4-BE49-F238E27FC236}">
              <a16:creationId xmlns:a16="http://schemas.microsoft.com/office/drawing/2014/main" id="{00000000-0008-0000-0100-00000E000000}"/>
            </a:ext>
          </a:extLst>
        </xdr:cNvPr>
        <xdr:cNvSpPr txBox="1"/>
      </xdr:nvSpPr>
      <xdr:spPr>
        <a:xfrm>
          <a:off x="3042285" y="7762875"/>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a:solidFill>
                <a:srgbClr val="096377"/>
              </a:solidFill>
              <a:latin typeface="Tahoma" pitchFamily="34" charset="0"/>
              <a:ea typeface="Tahoma" pitchFamily="34" charset="0"/>
              <a:cs typeface="Tahoma" pitchFamily="34" charset="0"/>
            </a:rPr>
            <a:t>RÉPONDRE</a:t>
          </a:r>
          <a:r>
            <a:rPr lang="fr-FR" sz="1400" b="1" u="none" baseline="0">
              <a:solidFill>
                <a:srgbClr val="096377"/>
              </a:solidFill>
              <a:latin typeface="Tahoma" pitchFamily="34" charset="0"/>
              <a:ea typeface="Tahoma" pitchFamily="34" charset="0"/>
              <a:cs typeface="Tahoma" pitchFamily="34" charset="0"/>
            </a:rPr>
            <a:t> AU QUESTIONNAIRE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1047750</xdr:colOff>
      <xdr:row>0</xdr:row>
      <xdr:rowOff>47625</xdr:rowOff>
    </xdr:from>
    <xdr:to>
      <xdr:col>7</xdr:col>
      <xdr:colOff>787400</xdr:colOff>
      <xdr:row>0</xdr:row>
      <xdr:rowOff>428625</xdr:rowOff>
    </xdr:to>
    <xdr:pic>
      <xdr:nvPicPr>
        <xdr:cNvPr id="5" name="Image 10">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362825" y="47625"/>
          <a:ext cx="733425" cy="381000"/>
        </a:xfrm>
        <a:prstGeom prst="rect">
          <a:avLst/>
        </a:prstGeom>
        <a:noFill/>
        <a:ln w="9525">
          <a:noFill/>
          <a:miter lim="800000"/>
          <a:headEnd/>
          <a:tailEnd/>
        </a:ln>
      </xdr:spPr>
    </xdr:pic>
    <xdr:clientData/>
  </xdr:twoCellAnchor>
  <xdr:twoCellAnchor editAs="oneCell">
    <xdr:from>
      <xdr:col>7</xdr:col>
      <xdr:colOff>609600</xdr:colOff>
      <xdr:row>0</xdr:row>
      <xdr:rowOff>28575</xdr:rowOff>
    </xdr:from>
    <xdr:to>
      <xdr:col>7</xdr:col>
      <xdr:colOff>1066800</xdr:colOff>
      <xdr:row>0</xdr:row>
      <xdr:rowOff>466725</xdr:rowOff>
    </xdr:to>
    <xdr:pic>
      <xdr:nvPicPr>
        <xdr:cNvPr id="6" name="Image 11">
          <a:hlinkClick xmlns:r="http://schemas.openxmlformats.org/officeDocument/2006/relationships" r:id="rId3"/>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8420100" y="28575"/>
          <a:ext cx="457200" cy="438150"/>
        </a:xfrm>
        <a:prstGeom prst="rect">
          <a:avLst/>
        </a:prstGeom>
        <a:noFill/>
        <a:ln w="9525">
          <a:noFill/>
          <a:miter lim="800000"/>
          <a:headEnd/>
          <a:tailEnd/>
        </a:ln>
      </xdr:spPr>
    </xdr:pic>
    <xdr:clientData/>
  </xdr:twoCellAnchor>
  <xdr:twoCellAnchor>
    <xdr:from>
      <xdr:col>0</xdr:col>
      <xdr:colOff>180975</xdr:colOff>
      <xdr:row>1</xdr:row>
      <xdr:rowOff>116545</xdr:rowOff>
    </xdr:from>
    <xdr:to>
      <xdr:col>0</xdr:col>
      <xdr:colOff>1980975</xdr:colOff>
      <xdr:row>5</xdr:row>
      <xdr:rowOff>47227</xdr:rowOff>
    </xdr:to>
    <xdr:sp macro="" textlink="">
      <xdr:nvSpPr>
        <xdr:cNvPr id="13" name="ZoneTexte 12">
          <a:hlinkClick xmlns:r="http://schemas.openxmlformats.org/officeDocument/2006/relationships" r:id="rId5"/>
          <a:extLst>
            <a:ext uri="{FF2B5EF4-FFF2-40B4-BE49-F238E27FC236}">
              <a16:creationId xmlns:a16="http://schemas.microsoft.com/office/drawing/2014/main" id="{00000000-0008-0000-0200-00000D000000}"/>
            </a:ext>
          </a:extLst>
        </xdr:cNvPr>
        <xdr:cNvSpPr txBox="1"/>
      </xdr:nvSpPr>
      <xdr:spPr>
        <a:xfrm>
          <a:off x="180975" y="7171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425824</xdr:colOff>
      <xdr:row>1</xdr:row>
      <xdr:rowOff>116545</xdr:rowOff>
    </xdr:from>
    <xdr:to>
      <xdr:col>8</xdr:col>
      <xdr:colOff>52294</xdr:colOff>
      <xdr:row>5</xdr:row>
      <xdr:rowOff>47227</xdr:rowOff>
    </xdr:to>
    <xdr:sp macro="" textlink="">
      <xdr:nvSpPr>
        <xdr:cNvPr id="14" name="ZoneTexte 13">
          <a:hlinkClick xmlns:r="http://schemas.openxmlformats.org/officeDocument/2006/relationships" r:id="rId6"/>
          <a:extLst>
            <a:ext uri="{FF2B5EF4-FFF2-40B4-BE49-F238E27FC236}">
              <a16:creationId xmlns:a16="http://schemas.microsoft.com/office/drawing/2014/main" id="{00000000-0008-0000-0200-00000E000000}"/>
            </a:ext>
          </a:extLst>
        </xdr:cNvPr>
        <xdr:cNvSpPr txBox="1"/>
      </xdr:nvSpPr>
      <xdr:spPr>
        <a:xfrm>
          <a:off x="5319059" y="721663"/>
          <a:ext cx="3227294" cy="558211"/>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9</xdr:col>
      <xdr:colOff>67236</xdr:colOff>
      <xdr:row>1</xdr:row>
      <xdr:rowOff>109074</xdr:rowOff>
    </xdr:from>
    <xdr:to>
      <xdr:col>12</xdr:col>
      <xdr:colOff>201706</xdr:colOff>
      <xdr:row>5</xdr:row>
      <xdr:rowOff>39756</xdr:rowOff>
    </xdr:to>
    <xdr:sp macro="" textlink="">
      <xdr:nvSpPr>
        <xdr:cNvPr id="15" name="ZoneTexte 14">
          <a:hlinkClick xmlns:r="http://schemas.openxmlformats.org/officeDocument/2006/relationships" r:id="rId7"/>
          <a:extLst>
            <a:ext uri="{FF2B5EF4-FFF2-40B4-BE49-F238E27FC236}">
              <a16:creationId xmlns:a16="http://schemas.microsoft.com/office/drawing/2014/main" id="{00000000-0008-0000-0200-00000F000000}"/>
            </a:ext>
          </a:extLst>
        </xdr:cNvPr>
        <xdr:cNvSpPr txBox="1"/>
      </xdr:nvSpPr>
      <xdr:spPr>
        <a:xfrm>
          <a:off x="10115177" y="714192"/>
          <a:ext cx="2532529" cy="558211"/>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0</xdr:col>
      <xdr:colOff>2419350</xdr:colOff>
      <xdr:row>1</xdr:row>
      <xdr:rowOff>116545</xdr:rowOff>
    </xdr:from>
    <xdr:to>
      <xdr:col>3</xdr:col>
      <xdr:colOff>113515</xdr:colOff>
      <xdr:row>5</xdr:row>
      <xdr:rowOff>47227</xdr:rowOff>
    </xdr:to>
    <xdr:sp macro="" textlink="">
      <xdr:nvSpPr>
        <xdr:cNvPr id="16" name="ZoneTexte 15">
          <a:hlinkClick xmlns:r="http://schemas.openxmlformats.org/officeDocument/2006/relationships" r:id="rId8"/>
          <a:extLst>
            <a:ext uri="{FF2B5EF4-FFF2-40B4-BE49-F238E27FC236}">
              <a16:creationId xmlns:a16="http://schemas.microsoft.com/office/drawing/2014/main" id="{00000000-0008-0000-0200-000010000000}"/>
            </a:ext>
          </a:extLst>
        </xdr:cNvPr>
        <xdr:cNvSpPr txBox="1"/>
      </xdr:nvSpPr>
      <xdr:spPr>
        <a:xfrm>
          <a:off x="2419350" y="7171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371475</xdr:colOff>
          <xdr:row>92</xdr:row>
          <xdr:rowOff>9525</xdr:rowOff>
        </xdr:from>
        <xdr:to>
          <xdr:col>1</xdr:col>
          <xdr:colOff>561975</xdr:colOff>
          <xdr:row>93</xdr:row>
          <xdr:rowOff>28575</xdr:rowOff>
        </xdr:to>
        <xdr:sp macro="" textlink="">
          <xdr:nvSpPr>
            <xdr:cNvPr id="1391617" name="Check Box 1" hidden="1">
              <a:extLst>
                <a:ext uri="{63B3BB69-23CF-44E3-9099-C40C66FF867C}">
                  <a14:compatExt spid="_x0000_s1391617"/>
                </a:ext>
                <a:ext uri="{FF2B5EF4-FFF2-40B4-BE49-F238E27FC236}">
                  <a16:creationId xmlns:a16="http://schemas.microsoft.com/office/drawing/2014/main" id="{00000000-0008-0000-0200-0000013C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63</xdr:row>
          <xdr:rowOff>9525</xdr:rowOff>
        </xdr:from>
        <xdr:to>
          <xdr:col>1</xdr:col>
          <xdr:colOff>561975</xdr:colOff>
          <xdr:row>64</xdr:row>
          <xdr:rowOff>28575</xdr:rowOff>
        </xdr:to>
        <xdr:sp macro="" textlink="">
          <xdr:nvSpPr>
            <xdr:cNvPr id="1391621" name="Check Box 5" hidden="1">
              <a:extLst>
                <a:ext uri="{63B3BB69-23CF-44E3-9099-C40C66FF867C}">
                  <a14:compatExt spid="_x0000_s1391621"/>
                </a:ext>
                <a:ext uri="{FF2B5EF4-FFF2-40B4-BE49-F238E27FC236}">
                  <a16:creationId xmlns:a16="http://schemas.microsoft.com/office/drawing/2014/main" id="{00000000-0008-0000-0200-0000053C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65</xdr:row>
          <xdr:rowOff>9525</xdr:rowOff>
        </xdr:from>
        <xdr:to>
          <xdr:col>1</xdr:col>
          <xdr:colOff>561975</xdr:colOff>
          <xdr:row>66</xdr:row>
          <xdr:rowOff>28575</xdr:rowOff>
        </xdr:to>
        <xdr:sp macro="" textlink="">
          <xdr:nvSpPr>
            <xdr:cNvPr id="1391623" name="Check Box 7" hidden="1">
              <a:extLst>
                <a:ext uri="{63B3BB69-23CF-44E3-9099-C40C66FF867C}">
                  <a14:compatExt spid="_x0000_s1391623"/>
                </a:ext>
                <a:ext uri="{FF2B5EF4-FFF2-40B4-BE49-F238E27FC236}">
                  <a16:creationId xmlns:a16="http://schemas.microsoft.com/office/drawing/2014/main" id="{00000000-0008-0000-0200-0000073C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68</xdr:row>
          <xdr:rowOff>9525</xdr:rowOff>
        </xdr:from>
        <xdr:to>
          <xdr:col>1</xdr:col>
          <xdr:colOff>561975</xdr:colOff>
          <xdr:row>68</xdr:row>
          <xdr:rowOff>285750</xdr:rowOff>
        </xdr:to>
        <xdr:sp macro="" textlink="">
          <xdr:nvSpPr>
            <xdr:cNvPr id="1391626" name="Check Box 10" hidden="1">
              <a:extLst>
                <a:ext uri="{63B3BB69-23CF-44E3-9099-C40C66FF867C}">
                  <a14:compatExt spid="_x0000_s1391626"/>
                </a:ext>
                <a:ext uri="{FF2B5EF4-FFF2-40B4-BE49-F238E27FC236}">
                  <a16:creationId xmlns:a16="http://schemas.microsoft.com/office/drawing/2014/main" id="{00000000-0008-0000-0200-00000A3C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68</xdr:row>
          <xdr:rowOff>9525</xdr:rowOff>
        </xdr:from>
        <xdr:to>
          <xdr:col>1</xdr:col>
          <xdr:colOff>561975</xdr:colOff>
          <xdr:row>68</xdr:row>
          <xdr:rowOff>285750</xdr:rowOff>
        </xdr:to>
        <xdr:sp macro="" textlink="">
          <xdr:nvSpPr>
            <xdr:cNvPr id="1391628" name="Check Box 12" hidden="1">
              <a:extLst>
                <a:ext uri="{63B3BB69-23CF-44E3-9099-C40C66FF867C}">
                  <a14:compatExt spid="_x0000_s1391628"/>
                </a:ext>
                <a:ext uri="{FF2B5EF4-FFF2-40B4-BE49-F238E27FC236}">
                  <a16:creationId xmlns:a16="http://schemas.microsoft.com/office/drawing/2014/main" id="{00000000-0008-0000-0200-00000C3C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133350</xdr:colOff>
      <xdr:row>69</xdr:row>
      <xdr:rowOff>19050</xdr:rowOff>
    </xdr:from>
    <xdr:to>
      <xdr:col>2</xdr:col>
      <xdr:colOff>449068</xdr:colOff>
      <xdr:row>78</xdr:row>
      <xdr:rowOff>149100</xdr:rowOff>
    </xdr:to>
    <xdr:pic>
      <xdr:nvPicPr>
        <xdr:cNvPr id="962058" name="Graphics 1">
          <a:extLst>
            <a:ext uri="{FF2B5EF4-FFF2-40B4-BE49-F238E27FC236}">
              <a16:creationId xmlns:a16="http://schemas.microsoft.com/office/drawing/2014/main" id="{00000000-0008-0000-0300-00000AAE0E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257425" y="16278225"/>
          <a:ext cx="2382643" cy="2016000"/>
        </a:xfrm>
        <a:prstGeom prst="rect">
          <a:avLst/>
        </a:prstGeom>
        <a:noFill/>
        <a:ln w="9525">
          <a:noFill/>
          <a:round/>
          <a:headEnd/>
          <a:tailEnd/>
        </a:ln>
      </xdr:spPr>
    </xdr:pic>
    <xdr:clientData/>
  </xdr:twoCellAnchor>
  <xdr:twoCellAnchor>
    <xdr:from>
      <xdr:col>2</xdr:col>
      <xdr:colOff>571500</xdr:colOff>
      <xdr:row>69</xdr:row>
      <xdr:rowOff>19050</xdr:rowOff>
    </xdr:from>
    <xdr:to>
      <xdr:col>4</xdr:col>
      <xdr:colOff>15675</xdr:colOff>
      <xdr:row>78</xdr:row>
      <xdr:rowOff>149100</xdr:rowOff>
    </xdr:to>
    <xdr:pic>
      <xdr:nvPicPr>
        <xdr:cNvPr id="962059" name="Image 4">
          <a:extLst>
            <a:ext uri="{FF2B5EF4-FFF2-40B4-BE49-F238E27FC236}">
              <a16:creationId xmlns:a16="http://schemas.microsoft.com/office/drawing/2014/main" id="{00000000-0008-0000-0300-00000BAE0E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762500" y="16278225"/>
          <a:ext cx="2158800" cy="2016000"/>
        </a:xfrm>
        <a:prstGeom prst="rect">
          <a:avLst/>
        </a:prstGeom>
        <a:noFill/>
        <a:ln w="9525">
          <a:noFill/>
          <a:round/>
          <a:headEnd/>
          <a:tailEnd/>
        </a:ln>
      </xdr:spPr>
    </xdr:pic>
    <xdr:clientData/>
  </xdr:twoCellAnchor>
  <xdr:twoCellAnchor>
    <xdr:from>
      <xdr:col>1</xdr:col>
      <xdr:colOff>69292</xdr:colOff>
      <xdr:row>92</xdr:row>
      <xdr:rowOff>101600</xdr:rowOff>
    </xdr:from>
    <xdr:to>
      <xdr:col>4</xdr:col>
      <xdr:colOff>78818</xdr:colOff>
      <xdr:row>106</xdr:row>
      <xdr:rowOff>50799</xdr:rowOff>
    </xdr:to>
    <xdr:graphicFrame macro="">
      <xdr:nvGraphicFramePr>
        <xdr:cNvPr id="962060" name="Graphique 3">
          <a:extLst>
            <a:ext uri="{FF2B5EF4-FFF2-40B4-BE49-F238E27FC236}">
              <a16:creationId xmlns:a16="http://schemas.microsoft.com/office/drawing/2014/main" id="{00000000-0008-0000-0300-00000CAE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50799</xdr:colOff>
      <xdr:row>159</xdr:row>
      <xdr:rowOff>47625</xdr:rowOff>
    </xdr:from>
    <xdr:to>
      <xdr:col>7</xdr:col>
      <xdr:colOff>136070</xdr:colOff>
      <xdr:row>171</xdr:row>
      <xdr:rowOff>152400</xdr:rowOff>
    </xdr:to>
    <xdr:graphicFrame macro="">
      <xdr:nvGraphicFramePr>
        <xdr:cNvPr id="962062" name="Graphique 6">
          <a:extLst>
            <a:ext uri="{FF2B5EF4-FFF2-40B4-BE49-F238E27FC236}">
              <a16:creationId xmlns:a16="http://schemas.microsoft.com/office/drawing/2014/main" id="{00000000-0008-0000-0300-00000EAE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2124074</xdr:colOff>
      <xdr:row>55</xdr:row>
      <xdr:rowOff>9525</xdr:rowOff>
    </xdr:from>
    <xdr:to>
      <xdr:col>3</xdr:col>
      <xdr:colOff>1466849</xdr:colOff>
      <xdr:row>63</xdr:row>
      <xdr:rowOff>190500</xdr:rowOff>
    </xdr:to>
    <xdr:graphicFrame macro="">
      <xdr:nvGraphicFramePr>
        <xdr:cNvPr id="962067" name="Graphique 1">
          <a:extLst>
            <a:ext uri="{FF2B5EF4-FFF2-40B4-BE49-F238E27FC236}">
              <a16:creationId xmlns:a16="http://schemas.microsoft.com/office/drawing/2014/main" id="{00000000-0008-0000-0300-000013AE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53795</xdr:colOff>
      <xdr:row>0</xdr:row>
      <xdr:rowOff>65930</xdr:rowOff>
    </xdr:from>
    <xdr:to>
      <xdr:col>7</xdr:col>
      <xdr:colOff>107</xdr:colOff>
      <xdr:row>0</xdr:row>
      <xdr:rowOff>446930</xdr:rowOff>
    </xdr:to>
    <xdr:pic>
      <xdr:nvPicPr>
        <xdr:cNvPr id="962070" name="Image 16">
          <a:hlinkClick xmlns:r="http://schemas.openxmlformats.org/officeDocument/2006/relationships" r:id="rId6"/>
          <a:extLst>
            <a:ext uri="{FF2B5EF4-FFF2-40B4-BE49-F238E27FC236}">
              <a16:creationId xmlns:a16="http://schemas.microsoft.com/office/drawing/2014/main" id="{00000000-0008-0000-0300-000016AE0E00}"/>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8532913" y="65930"/>
          <a:ext cx="742950" cy="381000"/>
        </a:xfrm>
        <a:prstGeom prst="rect">
          <a:avLst/>
        </a:prstGeom>
        <a:noFill/>
        <a:ln w="9525">
          <a:noFill/>
          <a:miter lim="800000"/>
          <a:headEnd/>
          <a:tailEnd/>
        </a:ln>
      </xdr:spPr>
    </xdr:pic>
    <xdr:clientData/>
  </xdr:twoCellAnchor>
  <xdr:twoCellAnchor editAs="oneCell">
    <xdr:from>
      <xdr:col>5</xdr:col>
      <xdr:colOff>895350</xdr:colOff>
      <xdr:row>0</xdr:row>
      <xdr:rowOff>9525</xdr:rowOff>
    </xdr:from>
    <xdr:to>
      <xdr:col>5</xdr:col>
      <xdr:colOff>1352550</xdr:colOff>
      <xdr:row>0</xdr:row>
      <xdr:rowOff>447675</xdr:rowOff>
    </xdr:to>
    <xdr:pic>
      <xdr:nvPicPr>
        <xdr:cNvPr id="962071" name="Image 17">
          <a:hlinkClick xmlns:r="http://schemas.openxmlformats.org/officeDocument/2006/relationships" r:id="rId8"/>
          <a:extLst>
            <a:ext uri="{FF2B5EF4-FFF2-40B4-BE49-F238E27FC236}">
              <a16:creationId xmlns:a16="http://schemas.microsoft.com/office/drawing/2014/main" id="{00000000-0008-0000-0300-000017AE0E00}"/>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rcRect/>
        <a:stretch>
          <a:fillRect/>
        </a:stretch>
      </xdr:blipFill>
      <xdr:spPr bwMode="auto">
        <a:xfrm>
          <a:off x="7562850" y="9525"/>
          <a:ext cx="457200" cy="438150"/>
        </a:xfrm>
        <a:prstGeom prst="rect">
          <a:avLst/>
        </a:prstGeom>
        <a:noFill/>
        <a:ln w="9525">
          <a:noFill/>
          <a:miter lim="800000"/>
          <a:headEnd/>
          <a:tailEnd/>
        </a:ln>
      </xdr:spPr>
    </xdr:pic>
    <xdr:clientData/>
  </xdr:twoCellAnchor>
  <xdr:twoCellAnchor>
    <xdr:from>
      <xdr:col>0</xdr:col>
      <xdr:colOff>200025</xdr:colOff>
      <xdr:row>1</xdr:row>
      <xdr:rowOff>91439</xdr:rowOff>
    </xdr:from>
    <xdr:to>
      <xdr:col>0</xdr:col>
      <xdr:colOff>2000025</xdr:colOff>
      <xdr:row>5</xdr:row>
      <xdr:rowOff>109079</xdr:rowOff>
    </xdr:to>
    <xdr:sp macro="" textlink="">
      <xdr:nvSpPr>
        <xdr:cNvPr id="24" name="ZoneTexte 23">
          <a:hlinkClick xmlns:r="http://schemas.openxmlformats.org/officeDocument/2006/relationships" r:id="rId10"/>
          <a:extLst>
            <a:ext uri="{FF2B5EF4-FFF2-40B4-BE49-F238E27FC236}">
              <a16:creationId xmlns:a16="http://schemas.microsoft.com/office/drawing/2014/main" id="{00000000-0008-0000-0300-000018000000}"/>
            </a:ext>
          </a:extLst>
        </xdr:cNvPr>
        <xdr:cNvSpPr txBox="1"/>
      </xdr:nvSpPr>
      <xdr:spPr>
        <a:xfrm>
          <a:off x="200025" y="830579"/>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0</xdr:colOff>
      <xdr:row>2</xdr:row>
      <xdr:rowOff>0</xdr:rowOff>
    </xdr:from>
    <xdr:to>
      <xdr:col>5</xdr:col>
      <xdr:colOff>679450</xdr:colOff>
      <xdr:row>5</xdr:row>
      <xdr:rowOff>109080</xdr:rowOff>
    </xdr:to>
    <xdr:sp macro="" textlink="">
      <xdr:nvSpPr>
        <xdr:cNvPr id="25" name="ZoneTexte 24">
          <a:hlinkClick xmlns:r="http://schemas.openxmlformats.org/officeDocument/2006/relationships" r:id="rId11"/>
          <a:extLst>
            <a:ext uri="{FF2B5EF4-FFF2-40B4-BE49-F238E27FC236}">
              <a16:creationId xmlns:a16="http://schemas.microsoft.com/office/drawing/2014/main" id="{00000000-0008-0000-0300-000019000000}"/>
            </a:ext>
          </a:extLst>
        </xdr:cNvPr>
        <xdr:cNvSpPr txBox="1"/>
      </xdr:nvSpPr>
      <xdr:spPr>
        <a:xfrm>
          <a:off x="4394200" y="635000"/>
          <a:ext cx="2095500" cy="58533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5</xdr:col>
      <xdr:colOff>1301749</xdr:colOff>
      <xdr:row>2</xdr:row>
      <xdr:rowOff>0</xdr:rowOff>
    </xdr:from>
    <xdr:to>
      <xdr:col>8</xdr:col>
      <xdr:colOff>24539</xdr:colOff>
      <xdr:row>5</xdr:row>
      <xdr:rowOff>109080</xdr:rowOff>
    </xdr:to>
    <xdr:sp macro="" textlink="">
      <xdr:nvSpPr>
        <xdr:cNvPr id="26" name="ZoneTexte 25">
          <a:hlinkClick xmlns:r="http://schemas.openxmlformats.org/officeDocument/2006/relationships" r:id="rId12"/>
          <a:extLst>
            <a:ext uri="{FF2B5EF4-FFF2-40B4-BE49-F238E27FC236}">
              <a16:creationId xmlns:a16="http://schemas.microsoft.com/office/drawing/2014/main" id="{00000000-0008-0000-0300-00001A000000}"/>
            </a:ext>
          </a:extLst>
        </xdr:cNvPr>
        <xdr:cNvSpPr txBox="1"/>
      </xdr:nvSpPr>
      <xdr:spPr>
        <a:xfrm>
          <a:off x="7111999" y="635000"/>
          <a:ext cx="1821590" cy="58533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1</xdr:col>
      <xdr:colOff>120650</xdr:colOff>
      <xdr:row>2</xdr:row>
      <xdr:rowOff>0</xdr:rowOff>
    </xdr:from>
    <xdr:to>
      <xdr:col>1</xdr:col>
      <xdr:colOff>1920650</xdr:colOff>
      <xdr:row>5</xdr:row>
      <xdr:rowOff>109080</xdr:rowOff>
    </xdr:to>
    <xdr:sp macro="" textlink="">
      <xdr:nvSpPr>
        <xdr:cNvPr id="27" name="ZoneTexte 26">
          <a:hlinkClick xmlns:r="http://schemas.openxmlformats.org/officeDocument/2006/relationships" r:id="rId13"/>
          <a:extLst>
            <a:ext uri="{FF2B5EF4-FFF2-40B4-BE49-F238E27FC236}">
              <a16:creationId xmlns:a16="http://schemas.microsoft.com/office/drawing/2014/main" id="{00000000-0008-0000-0300-00001B000000}"/>
            </a:ext>
          </a:extLst>
        </xdr:cNvPr>
        <xdr:cNvSpPr txBox="1"/>
      </xdr:nvSpPr>
      <xdr:spPr>
        <a:xfrm>
          <a:off x="2307590" y="8305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203200</xdr:colOff>
      <xdr:row>108</xdr:row>
      <xdr:rowOff>107950</xdr:rowOff>
    </xdr:from>
    <xdr:to>
      <xdr:col>10</xdr:col>
      <xdr:colOff>234949</xdr:colOff>
      <xdr:row>118</xdr:row>
      <xdr:rowOff>31750</xdr:rowOff>
    </xdr:to>
    <xdr:graphicFrame macro="">
      <xdr:nvGraphicFramePr>
        <xdr:cNvPr id="17" name="Graphique 4">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6</xdr:col>
      <xdr:colOff>470647</xdr:colOff>
      <xdr:row>11</xdr:row>
      <xdr:rowOff>156638</xdr:rowOff>
    </xdr:from>
    <xdr:to>
      <xdr:col>7</xdr:col>
      <xdr:colOff>605116</xdr:colOff>
      <xdr:row>16</xdr:row>
      <xdr:rowOff>39456</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xfrm>
          <a:off x="7784353" y="2606991"/>
          <a:ext cx="933823" cy="936171"/>
        </a:xfrm>
        <a:prstGeom prst="rect">
          <a:avLst/>
        </a:prstGeom>
      </xdr:spPr>
    </xdr:pic>
    <xdr:clientData/>
  </xdr:twoCellAnchor>
  <xdr:twoCellAnchor>
    <xdr:from>
      <xdr:col>4</xdr:col>
      <xdr:colOff>104589</xdr:colOff>
      <xdr:row>24</xdr:row>
      <xdr:rowOff>121663</xdr:rowOff>
    </xdr:from>
    <xdr:to>
      <xdr:col>10</xdr:col>
      <xdr:colOff>216648</xdr:colOff>
      <xdr:row>36</xdr:row>
      <xdr:rowOff>100853</xdr:rowOff>
    </xdr:to>
    <xdr:graphicFrame macro="">
      <xdr:nvGraphicFramePr>
        <xdr:cNvPr id="4" name="Graphique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24545</xdr:colOff>
      <xdr:row>28</xdr:row>
      <xdr:rowOff>102777</xdr:rowOff>
    </xdr:from>
    <xdr:to>
      <xdr:col>13</xdr:col>
      <xdr:colOff>2213961</xdr:colOff>
      <xdr:row>39</xdr:row>
      <xdr:rowOff>1495720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0</xdr:col>
      <xdr:colOff>199571</xdr:colOff>
      <xdr:row>44</xdr:row>
      <xdr:rowOff>163294</xdr:rowOff>
    </xdr:from>
    <xdr:to>
      <xdr:col>0</xdr:col>
      <xdr:colOff>809175</xdr:colOff>
      <xdr:row>47</xdr:row>
      <xdr:rowOff>102145</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a:ext>
          </a:extLst>
        </a:blip>
        <a:stretch>
          <a:fillRect/>
        </a:stretch>
      </xdr:blipFill>
      <xdr:spPr>
        <a:xfrm>
          <a:off x="199571" y="6776365"/>
          <a:ext cx="609604" cy="619209"/>
        </a:xfrm>
        <a:prstGeom prst="rect">
          <a:avLst/>
        </a:prstGeom>
      </xdr:spPr>
    </xdr:pic>
    <xdr:clientData/>
  </xdr:twoCellAnchor>
  <xdr:twoCellAnchor editAs="oneCell">
    <xdr:from>
      <xdr:col>0</xdr:col>
      <xdr:colOff>126994</xdr:colOff>
      <xdr:row>79</xdr:row>
      <xdr:rowOff>217716</xdr:rowOff>
    </xdr:from>
    <xdr:to>
      <xdr:col>0</xdr:col>
      <xdr:colOff>825494</xdr:colOff>
      <xdr:row>82</xdr:row>
      <xdr:rowOff>54433</xdr:rowOff>
    </xdr:to>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9" cstate="email">
          <a:extLst>
            <a:ext uri="{28A0092B-C50C-407E-A947-70E740481C1C}">
              <a14:useLocalDpi xmlns:a14="http://schemas.microsoft.com/office/drawing/2010/main"/>
            </a:ext>
          </a:extLst>
        </a:blip>
        <a:stretch>
          <a:fillRect/>
        </a:stretch>
      </xdr:blipFill>
      <xdr:spPr>
        <a:xfrm>
          <a:off x="126994" y="14614073"/>
          <a:ext cx="698500" cy="698500"/>
        </a:xfrm>
        <a:prstGeom prst="rect">
          <a:avLst/>
        </a:prstGeom>
      </xdr:spPr>
    </xdr:pic>
    <xdr:clientData/>
  </xdr:twoCellAnchor>
  <xdr:twoCellAnchor editAs="oneCell">
    <xdr:from>
      <xdr:col>0</xdr:col>
      <xdr:colOff>217714</xdr:colOff>
      <xdr:row>109</xdr:row>
      <xdr:rowOff>145143</xdr:rowOff>
    </xdr:from>
    <xdr:to>
      <xdr:col>0</xdr:col>
      <xdr:colOff>829714</xdr:colOff>
      <xdr:row>113</xdr:row>
      <xdr:rowOff>4213</xdr:rowOff>
    </xdr:to>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0" cstate="email">
          <a:extLst>
            <a:ext uri="{28A0092B-C50C-407E-A947-70E740481C1C}">
              <a14:useLocalDpi xmlns:a14="http://schemas.microsoft.com/office/drawing/2010/main"/>
            </a:ext>
          </a:extLst>
        </a:blip>
        <a:stretch>
          <a:fillRect/>
        </a:stretch>
      </xdr:blipFill>
      <xdr:spPr>
        <a:xfrm>
          <a:off x="217714" y="20111357"/>
          <a:ext cx="612000" cy="612000"/>
        </a:xfrm>
        <a:prstGeom prst="rect">
          <a:avLst/>
        </a:prstGeom>
      </xdr:spPr>
    </xdr:pic>
    <xdr:clientData/>
  </xdr:twoCellAnchor>
  <xdr:twoCellAnchor editAs="oneCell">
    <xdr:from>
      <xdr:col>0</xdr:col>
      <xdr:colOff>190500</xdr:colOff>
      <xdr:row>149</xdr:row>
      <xdr:rowOff>99785</xdr:rowOff>
    </xdr:from>
    <xdr:to>
      <xdr:col>0</xdr:col>
      <xdr:colOff>802500</xdr:colOff>
      <xdr:row>151</xdr:row>
      <xdr:rowOff>122141</xdr:rowOff>
    </xdr:to>
    <xdr:pic>
      <xdr:nvPicPr>
        <xdr:cNvPr id="12" name="Imag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1" cstate="email">
          <a:extLst>
            <a:ext uri="{28A0092B-C50C-407E-A947-70E740481C1C}">
              <a14:useLocalDpi xmlns:a14="http://schemas.microsoft.com/office/drawing/2010/main"/>
            </a:ext>
          </a:extLst>
        </a:blip>
        <a:stretch>
          <a:fillRect/>
        </a:stretch>
      </xdr:blipFill>
      <xdr:spPr>
        <a:xfrm>
          <a:off x="190500" y="28411714"/>
          <a:ext cx="612000" cy="612000"/>
        </a:xfrm>
        <a:prstGeom prst="rect">
          <a:avLst/>
        </a:prstGeom>
      </xdr:spPr>
    </xdr:pic>
    <xdr:clientData/>
  </xdr:twoCellAnchor>
  <xdr:twoCellAnchor editAs="oneCell">
    <xdr:from>
      <xdr:col>0</xdr:col>
      <xdr:colOff>272142</xdr:colOff>
      <xdr:row>173</xdr:row>
      <xdr:rowOff>72571</xdr:rowOff>
    </xdr:from>
    <xdr:to>
      <xdr:col>0</xdr:col>
      <xdr:colOff>871752</xdr:colOff>
      <xdr:row>176</xdr:row>
      <xdr:rowOff>73465</xdr:rowOff>
    </xdr:to>
    <xdr:pic>
      <xdr:nvPicPr>
        <xdr:cNvPr id="14" name="Imag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22" cstate="email">
          <a:extLst>
            <a:ext uri="{28A0092B-C50C-407E-A947-70E740481C1C}">
              <a14:useLocalDpi xmlns:a14="http://schemas.microsoft.com/office/drawing/2010/main"/>
            </a:ext>
          </a:extLst>
        </a:blip>
        <a:stretch>
          <a:fillRect/>
        </a:stretch>
      </xdr:blipFill>
      <xdr:spPr>
        <a:xfrm>
          <a:off x="272142" y="32620857"/>
          <a:ext cx="599610" cy="599610"/>
        </a:xfrm>
        <a:prstGeom prst="rect">
          <a:avLst/>
        </a:prstGeom>
      </xdr:spPr>
    </xdr:pic>
    <xdr:clientData/>
  </xdr:twoCellAnchor>
  <xdr:twoCellAnchor editAs="oneCell">
    <xdr:from>
      <xdr:col>0</xdr:col>
      <xdr:colOff>244928</xdr:colOff>
      <xdr:row>182</xdr:row>
      <xdr:rowOff>163286</xdr:rowOff>
    </xdr:from>
    <xdr:to>
      <xdr:col>0</xdr:col>
      <xdr:colOff>856928</xdr:colOff>
      <xdr:row>185</xdr:row>
      <xdr:rowOff>185642</xdr:rowOff>
    </xdr:to>
    <xdr:pic>
      <xdr:nvPicPr>
        <xdr:cNvPr id="18" name="Image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23" cstate="email">
          <a:extLst>
            <a:ext uri="{28A0092B-C50C-407E-A947-70E740481C1C}">
              <a14:useLocalDpi xmlns:a14="http://schemas.microsoft.com/office/drawing/2010/main"/>
            </a:ext>
          </a:extLst>
        </a:blip>
        <a:stretch>
          <a:fillRect/>
        </a:stretch>
      </xdr:blipFill>
      <xdr:spPr>
        <a:xfrm>
          <a:off x="244928" y="34471429"/>
          <a:ext cx="612000" cy="612000"/>
        </a:xfrm>
        <a:prstGeom prst="rect">
          <a:avLst/>
        </a:prstGeom>
      </xdr:spPr>
    </xdr:pic>
    <xdr:clientData/>
  </xdr:twoCellAnchor>
  <xdr:twoCellAnchor>
    <xdr:from>
      <xdr:col>0</xdr:col>
      <xdr:colOff>330403</xdr:colOff>
      <xdr:row>38</xdr:row>
      <xdr:rowOff>68187</xdr:rowOff>
    </xdr:from>
    <xdr:to>
      <xdr:col>3</xdr:col>
      <xdr:colOff>428879</xdr:colOff>
      <xdr:row>40</xdr:row>
      <xdr:rowOff>69274</xdr:rowOff>
    </xdr:to>
    <xdr:graphicFrame macro="">
      <xdr:nvGraphicFramePr>
        <xdr:cNvPr id="7" name="Graphique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923636</xdr:colOff>
      <xdr:row>38</xdr:row>
      <xdr:rowOff>115454</xdr:rowOff>
    </xdr:from>
    <xdr:to>
      <xdr:col>9</xdr:col>
      <xdr:colOff>179294</xdr:colOff>
      <xdr:row>40</xdr:row>
      <xdr:rowOff>116541</xdr:rowOff>
    </xdr:to>
    <xdr:graphicFrame macro="">
      <xdr:nvGraphicFramePr>
        <xdr:cNvPr id="28" name="Graphique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0</xdr:colOff>
      <xdr:row>39</xdr:row>
      <xdr:rowOff>23091</xdr:rowOff>
    </xdr:from>
    <xdr:to>
      <xdr:col>13</xdr:col>
      <xdr:colOff>2973295</xdr:colOff>
      <xdr:row>41</xdr:row>
      <xdr:rowOff>24178</xdr:rowOff>
    </xdr:to>
    <xdr:graphicFrame macro="">
      <xdr:nvGraphicFramePr>
        <xdr:cNvPr id="29" name="Graphique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235857</xdr:colOff>
      <xdr:row>40</xdr:row>
      <xdr:rowOff>72571</xdr:rowOff>
    </xdr:from>
    <xdr:to>
      <xdr:col>3</xdr:col>
      <xdr:colOff>333509</xdr:colOff>
      <xdr:row>41</xdr:row>
      <xdr:rowOff>2776944</xdr:rowOff>
    </xdr:to>
    <xdr:graphicFrame macro="">
      <xdr:nvGraphicFramePr>
        <xdr:cNvPr id="32" name="Graphique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1115786</xdr:colOff>
      <xdr:row>41</xdr:row>
      <xdr:rowOff>9072</xdr:rowOff>
    </xdr:from>
    <xdr:to>
      <xdr:col>10</xdr:col>
      <xdr:colOff>70437</xdr:colOff>
      <xdr:row>41</xdr:row>
      <xdr:rowOff>2876730</xdr:rowOff>
    </xdr:to>
    <xdr:graphicFrame macro="">
      <xdr:nvGraphicFramePr>
        <xdr:cNvPr id="33" name="Graphique 32">
          <a:extLst>
            <a:ext uri="{FF2B5EF4-FFF2-40B4-BE49-F238E27FC236}">
              <a16:creationId xmlns:a16="http://schemas.microsoft.com/office/drawing/2014/main" id="{00000000-0008-0000-03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181428</xdr:colOff>
      <xdr:row>41</xdr:row>
      <xdr:rowOff>108857</xdr:rowOff>
    </xdr:from>
    <xdr:to>
      <xdr:col>13</xdr:col>
      <xdr:colOff>3154723</xdr:colOff>
      <xdr:row>41</xdr:row>
      <xdr:rowOff>2976515</xdr:rowOff>
    </xdr:to>
    <xdr:graphicFrame macro="">
      <xdr:nvGraphicFramePr>
        <xdr:cNvPr id="34" name="Graphique 33">
          <a:extLst>
            <a:ext uri="{FF2B5EF4-FFF2-40B4-BE49-F238E27FC236}">
              <a16:creationId xmlns:a16="http://schemas.microsoft.com/office/drawing/2014/main" id="{00000000-0008-0000-03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8</xdr:col>
      <xdr:colOff>145143</xdr:colOff>
      <xdr:row>16</xdr:row>
      <xdr:rowOff>127893</xdr:rowOff>
    </xdr:from>
    <xdr:to>
      <xdr:col>8</xdr:col>
      <xdr:colOff>426358</xdr:colOff>
      <xdr:row>25</xdr:row>
      <xdr:rowOff>28107</xdr:rowOff>
    </xdr:to>
    <xdr:pic>
      <xdr:nvPicPr>
        <xdr:cNvPr id="35" name="Image 34">
          <a:extLst>
            <a:ext uri="{FF2B5EF4-FFF2-40B4-BE49-F238E27FC236}">
              <a16:creationId xmlns:a16="http://schemas.microsoft.com/office/drawing/2014/main" id="{00000000-0008-0000-0300-000023000000}"/>
            </a:ext>
          </a:extLst>
        </xdr:cNvPr>
        <xdr:cNvPicPr>
          <a:picLocks noChangeAspect="1"/>
        </xdr:cNvPicPr>
      </xdr:nvPicPr>
      <xdr:blipFill>
        <a:blip xmlns:r="http://schemas.openxmlformats.org/officeDocument/2006/relationships" r:embed="rId22" cstate="email">
          <a:extLst>
            <a:ext uri="{28A0092B-C50C-407E-A947-70E740481C1C}">
              <a14:useLocalDpi xmlns:a14="http://schemas.microsoft.com/office/drawing/2010/main"/>
            </a:ext>
          </a:extLst>
        </a:blip>
        <a:stretch>
          <a:fillRect/>
        </a:stretch>
      </xdr:blipFill>
      <xdr:spPr>
        <a:xfrm>
          <a:off x="9125857" y="3656679"/>
          <a:ext cx="281215" cy="281214"/>
        </a:xfrm>
        <a:prstGeom prst="rect">
          <a:avLst/>
        </a:prstGeom>
      </xdr:spPr>
    </xdr:pic>
    <xdr:clientData/>
  </xdr:twoCellAnchor>
  <xdr:twoCellAnchor editAs="oneCell">
    <xdr:from>
      <xdr:col>5</xdr:col>
      <xdr:colOff>1206500</xdr:colOff>
      <xdr:row>16</xdr:row>
      <xdr:rowOff>163286</xdr:rowOff>
    </xdr:from>
    <xdr:to>
      <xdr:col>6</xdr:col>
      <xdr:colOff>27107</xdr:colOff>
      <xdr:row>25</xdr:row>
      <xdr:rowOff>99680</xdr:rowOff>
    </xdr:to>
    <xdr:pic>
      <xdr:nvPicPr>
        <xdr:cNvPr id="38" name="Image 37">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19" cstate="email">
          <a:extLst>
            <a:ext uri="{28A0092B-C50C-407E-A947-70E740481C1C}">
              <a14:useLocalDpi xmlns:a14="http://schemas.microsoft.com/office/drawing/2010/main"/>
            </a:ext>
          </a:extLst>
        </a:blip>
        <a:stretch>
          <a:fillRect/>
        </a:stretch>
      </xdr:blipFill>
      <xdr:spPr>
        <a:xfrm>
          <a:off x="7093857" y="3692072"/>
          <a:ext cx="317393" cy="317394"/>
        </a:xfrm>
        <a:prstGeom prst="rect">
          <a:avLst/>
        </a:prstGeom>
      </xdr:spPr>
    </xdr:pic>
    <xdr:clientData/>
  </xdr:twoCellAnchor>
  <xdr:twoCellAnchor editAs="oneCell">
    <xdr:from>
      <xdr:col>6</xdr:col>
      <xdr:colOff>462642</xdr:colOff>
      <xdr:row>24</xdr:row>
      <xdr:rowOff>18142</xdr:rowOff>
    </xdr:from>
    <xdr:to>
      <xdr:col>6</xdr:col>
      <xdr:colOff>689429</xdr:colOff>
      <xdr:row>25</xdr:row>
      <xdr:rowOff>54428</xdr:rowOff>
    </xdr:to>
    <xdr:pic>
      <xdr:nvPicPr>
        <xdr:cNvPr id="39" name="Image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20" cstate="email">
          <a:extLst>
            <a:ext uri="{28A0092B-C50C-407E-A947-70E740481C1C}">
              <a14:useLocalDpi xmlns:a14="http://schemas.microsoft.com/office/drawing/2010/main"/>
            </a:ext>
          </a:extLst>
        </a:blip>
        <a:stretch>
          <a:fillRect/>
        </a:stretch>
      </xdr:blipFill>
      <xdr:spPr>
        <a:xfrm>
          <a:off x="7846785" y="3737428"/>
          <a:ext cx="226787" cy="226786"/>
        </a:xfrm>
        <a:prstGeom prst="rect">
          <a:avLst/>
        </a:prstGeom>
      </xdr:spPr>
    </xdr:pic>
    <xdr:clientData/>
  </xdr:twoCellAnchor>
  <xdr:twoCellAnchor editAs="oneCell">
    <xdr:from>
      <xdr:col>5</xdr:col>
      <xdr:colOff>580571</xdr:colOff>
      <xdr:row>16</xdr:row>
      <xdr:rowOff>163286</xdr:rowOff>
    </xdr:from>
    <xdr:to>
      <xdr:col>5</xdr:col>
      <xdr:colOff>839563</xdr:colOff>
      <xdr:row>25</xdr:row>
      <xdr:rowOff>45358</xdr:rowOff>
    </xdr:to>
    <xdr:pic>
      <xdr:nvPicPr>
        <xdr:cNvPr id="40" name="Image 39">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a:ext>
          </a:extLst>
        </a:blip>
        <a:stretch>
          <a:fillRect/>
        </a:stretch>
      </xdr:blipFill>
      <xdr:spPr>
        <a:xfrm>
          <a:off x="6467928" y="3692072"/>
          <a:ext cx="258992" cy="263072"/>
        </a:xfrm>
        <a:prstGeom prst="rect">
          <a:avLst/>
        </a:prstGeom>
      </xdr:spPr>
    </xdr:pic>
    <xdr:clientData/>
  </xdr:twoCellAnchor>
  <xdr:twoCellAnchor editAs="oneCell">
    <xdr:from>
      <xdr:col>7</xdr:col>
      <xdr:colOff>263070</xdr:colOff>
      <xdr:row>24</xdr:row>
      <xdr:rowOff>36285</xdr:rowOff>
    </xdr:from>
    <xdr:to>
      <xdr:col>7</xdr:col>
      <xdr:colOff>507999</xdr:colOff>
      <xdr:row>25</xdr:row>
      <xdr:rowOff>90714</xdr:rowOff>
    </xdr:to>
    <xdr:pic>
      <xdr:nvPicPr>
        <xdr:cNvPr id="41" name="Image 40">
          <a:extLst>
            <a:ext uri="{FF2B5EF4-FFF2-40B4-BE49-F238E27FC236}">
              <a16:creationId xmlns:a16="http://schemas.microsoft.com/office/drawing/2014/main" id="{00000000-0008-0000-0300-000029000000}"/>
            </a:ext>
          </a:extLst>
        </xdr:cNvPr>
        <xdr:cNvPicPr>
          <a:picLocks noChangeAspect="1"/>
        </xdr:cNvPicPr>
      </xdr:nvPicPr>
      <xdr:blipFill>
        <a:blip xmlns:r="http://schemas.openxmlformats.org/officeDocument/2006/relationships" r:embed="rId21" cstate="email">
          <a:extLst>
            <a:ext uri="{28A0092B-C50C-407E-A947-70E740481C1C}">
              <a14:useLocalDpi xmlns:a14="http://schemas.microsoft.com/office/drawing/2010/main"/>
            </a:ext>
          </a:extLst>
        </a:blip>
        <a:stretch>
          <a:fillRect/>
        </a:stretch>
      </xdr:blipFill>
      <xdr:spPr>
        <a:xfrm>
          <a:off x="8445499" y="3755571"/>
          <a:ext cx="244929" cy="244929"/>
        </a:xfrm>
        <a:prstGeom prst="rect">
          <a:avLst/>
        </a:prstGeom>
      </xdr:spPr>
    </xdr:pic>
    <xdr:clientData/>
  </xdr:twoCellAnchor>
  <xdr:twoCellAnchor editAs="oneCell">
    <xdr:from>
      <xdr:col>9</xdr:col>
      <xdr:colOff>27214</xdr:colOff>
      <xdr:row>16</xdr:row>
      <xdr:rowOff>185641</xdr:rowOff>
    </xdr:from>
    <xdr:to>
      <xdr:col>9</xdr:col>
      <xdr:colOff>254000</xdr:colOff>
      <xdr:row>25</xdr:row>
      <xdr:rowOff>31427</xdr:rowOff>
    </xdr:to>
    <xdr:pic>
      <xdr:nvPicPr>
        <xdr:cNvPr id="42" name="Image 41">
          <a:extLst>
            <a:ext uri="{FF2B5EF4-FFF2-40B4-BE49-F238E27FC236}">
              <a16:creationId xmlns:a16="http://schemas.microsoft.com/office/drawing/2014/main" id="{00000000-0008-0000-0300-00002A000000}"/>
            </a:ext>
          </a:extLst>
        </xdr:cNvPr>
        <xdr:cNvPicPr>
          <a:picLocks noChangeAspect="1"/>
        </xdr:cNvPicPr>
      </xdr:nvPicPr>
      <xdr:blipFill>
        <a:blip xmlns:r="http://schemas.openxmlformats.org/officeDocument/2006/relationships" r:embed="rId23" cstate="email">
          <a:extLst>
            <a:ext uri="{28A0092B-C50C-407E-A947-70E740481C1C}">
              <a14:useLocalDpi xmlns:a14="http://schemas.microsoft.com/office/drawing/2010/main"/>
            </a:ext>
          </a:extLst>
        </a:blip>
        <a:stretch>
          <a:fillRect/>
        </a:stretch>
      </xdr:blipFill>
      <xdr:spPr>
        <a:xfrm>
          <a:off x="9806214" y="3714427"/>
          <a:ext cx="226786" cy="226786"/>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0.82087</cdr:x>
      <cdr:y>0.01771</cdr:y>
    </cdr:from>
    <cdr:to>
      <cdr:x>0.95424</cdr:x>
      <cdr:y>0.23364</cdr:y>
    </cdr:to>
    <cdr:pic>
      <cdr:nvPicPr>
        <cdr:cNvPr id="2" name="Image 1">
          <a:extLst xmlns:a="http://schemas.openxmlformats.org/drawingml/2006/main">
            <a:ext uri="{FF2B5EF4-FFF2-40B4-BE49-F238E27FC236}">
              <a16:creationId xmlns:a16="http://schemas.microsoft.com/office/drawing/2014/main" id="{00000000-0008-0000-0300-000006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751943" y="50800"/>
          <a:ext cx="609604" cy="619208"/>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0.82434</cdr:x>
      <cdr:y>0</cdr:y>
    </cdr:from>
    <cdr:to>
      <cdr:x>0.97744</cdr:x>
      <cdr:y>0.24358</cdr:y>
    </cdr:to>
    <cdr:pic>
      <cdr:nvPicPr>
        <cdr:cNvPr id="2" name="Image 1">
          <a:extLst xmlns:a="http://schemas.openxmlformats.org/drawingml/2006/main">
            <a:ext uri="{FF2B5EF4-FFF2-40B4-BE49-F238E27FC236}">
              <a16:creationId xmlns:a16="http://schemas.microsoft.com/office/drawing/2014/main" id="{00000000-0008-0000-0300-000008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761015" y="0"/>
          <a:ext cx="698500" cy="698502"/>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0.81109</cdr:x>
      <cdr:y>0</cdr:y>
    </cdr:from>
    <cdr:to>
      <cdr:x>0.94501</cdr:x>
      <cdr:y>0.21341</cdr:y>
    </cdr:to>
    <cdr:pic>
      <cdr:nvPicPr>
        <cdr:cNvPr id="2" name="Image 1">
          <a:extLst xmlns:a="http://schemas.openxmlformats.org/drawingml/2006/main">
            <a:ext uri="{FF2B5EF4-FFF2-40B4-BE49-F238E27FC236}">
              <a16:creationId xmlns:a16="http://schemas.microsoft.com/office/drawing/2014/main" id="{00000000-0008-0000-0300-00000A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706586" y="0"/>
          <a:ext cx="612000" cy="611998"/>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0.82499</cdr:x>
      <cdr:y>0</cdr:y>
    </cdr:from>
    <cdr:to>
      <cdr:x>0.95891</cdr:x>
      <cdr:y>0.21341</cdr:y>
    </cdr:to>
    <cdr:pic>
      <cdr:nvPicPr>
        <cdr:cNvPr id="2" name="Image 1">
          <a:extLst xmlns:a="http://schemas.openxmlformats.org/drawingml/2006/main">
            <a:ext uri="{FF2B5EF4-FFF2-40B4-BE49-F238E27FC236}">
              <a16:creationId xmlns:a16="http://schemas.microsoft.com/office/drawing/2014/main" id="{00000000-0008-0000-0300-00000C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770086" y="0"/>
          <a:ext cx="612000" cy="611999"/>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0.7972</cdr:x>
      <cdr:y>0</cdr:y>
    </cdr:from>
    <cdr:to>
      <cdr:x>0.92841</cdr:x>
      <cdr:y>0.20909</cdr:y>
    </cdr:to>
    <cdr:pic>
      <cdr:nvPicPr>
        <cdr:cNvPr id="2" name="Image 1">
          <a:extLst xmlns:a="http://schemas.openxmlformats.org/drawingml/2006/main">
            <a:ext uri="{FF2B5EF4-FFF2-40B4-BE49-F238E27FC236}">
              <a16:creationId xmlns:a16="http://schemas.microsoft.com/office/drawing/2014/main" id="{F43E4831-6715-4D41-8933-4FC8F7C96E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643085" y="0"/>
          <a:ext cx="599610" cy="599608"/>
        </a:xfrm>
        <a:prstGeom xmlns:a="http://schemas.openxmlformats.org/drawingml/2006/main" prst="rect">
          <a:avLst/>
        </a:prstGeom>
      </cdr:spPr>
    </cdr:pic>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D10" totalsRowShown="0" headerRowDxfId="24" dataDxfId="22" headerRowBorderDxfId="23" tableBorderDxfId="21" totalsRowBorderDxfId="20">
  <autoFilter ref="B5:D10" xr:uid="{00000000-0009-0000-0100-000001000000}"/>
  <tableColumns count="3">
    <tableColumn id="1" xr3:uid="{00000000-0010-0000-0000-000001000000}" name="Version" dataDxfId="19"/>
    <tableColumn id="2" xr3:uid="{00000000-0010-0000-0000-000002000000}" name="Date de la version" dataDxfId="18"/>
    <tableColumn id="3" xr3:uid="{00000000-0010-0000-0000-000003000000}" name="Changement par rapport version précédente" dataDxfId="17"/>
  </tableColumns>
  <tableStyleInfo name="TableStyleMedium7 2" showFirstColumn="0" showLastColumn="0" showRowStripes="1" showColumnStripes="0"/>
</table>
</file>

<file path=xl/theme/theme1.xml><?xml version="1.0" encoding="utf-8"?>
<a:theme xmlns:a="http://schemas.openxmlformats.org/drawingml/2006/main" name="Thème Office">
  <a:themeElements>
    <a:clrScheme name="Personnalisé 5">
      <a:dk1>
        <a:sysClr val="windowText" lastClr="000000"/>
      </a:dk1>
      <a:lt1>
        <a:sysClr val="window" lastClr="FFFFFF"/>
      </a:lt1>
      <a:dk2>
        <a:srgbClr val="333333"/>
      </a:dk2>
      <a:lt2>
        <a:srgbClr val="F5E991"/>
      </a:lt2>
      <a:accent1>
        <a:srgbClr val="F39912"/>
      </a:accent1>
      <a:accent2>
        <a:srgbClr val="096377"/>
      </a:accent2>
      <a:accent3>
        <a:srgbClr val="969696"/>
      </a:accent3>
      <a:accent4>
        <a:srgbClr val="00B050"/>
      </a:accent4>
      <a:accent5>
        <a:srgbClr val="990000"/>
      </a:accent5>
      <a:accent6>
        <a:srgbClr val="3366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venirclimatique.org/" TargetMode="External"/><Relationship Id="rId7" Type="http://schemas.openxmlformats.org/officeDocument/2006/relationships/drawing" Target="../drawings/drawing1.xml"/><Relationship Id="rId2" Type="http://schemas.openxmlformats.org/officeDocument/2006/relationships/hyperlink" Target="mailto:contact@avenirclimatique.org" TargetMode="External"/><Relationship Id="rId1" Type="http://schemas.openxmlformats.org/officeDocument/2006/relationships/hyperlink" Target="mailto:contact@taca.asso.fr" TargetMode="External"/><Relationship Id="rId6" Type="http://schemas.openxmlformats.org/officeDocument/2006/relationships/printerSettings" Target="../printerSettings/printerSettings1.bin"/><Relationship Id="rId5" Type="http://schemas.openxmlformats.org/officeDocument/2006/relationships/hyperlink" Target="http://creativecommons.org/licenses/by/4.0/" TargetMode="External"/><Relationship Id="rId4" Type="http://schemas.openxmlformats.org/officeDocument/2006/relationships/hyperlink" Target="http://www.taca.asso.f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avenirclimatique.org/" TargetMode="External"/><Relationship Id="rId2" Type="http://schemas.openxmlformats.org/officeDocument/2006/relationships/hyperlink" Target="mailto:support-micmac@avenirclimatique.org" TargetMode="External"/><Relationship Id="rId1" Type="http://schemas.openxmlformats.org/officeDocument/2006/relationships/hyperlink" Target="mailto:micmac.taca@yahoo.fr"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taca.asso.fr/"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jechange.fr/energie/electricite/guides/prix-electricite-kwh-2435" TargetMode="External"/><Relationship Id="rId1" Type="http://schemas.openxmlformats.org/officeDocument/2006/relationships/hyperlink" Target="https://elyotherm.fr/comparatif-cout-energies-kwh" TargetMode="External"/><Relationship Id="rId4"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13" Type="http://schemas.openxmlformats.org/officeDocument/2006/relationships/hyperlink" Target="https://www.financeresponsable.org/" TargetMode="External"/><Relationship Id="rId18" Type="http://schemas.openxmlformats.org/officeDocument/2006/relationships/hyperlink" Target="http://www.fondation-nature-homme.org/sites/default/files/vehicule_electrique_synthese.pdf" TargetMode="External"/><Relationship Id="rId26" Type="http://schemas.openxmlformats.org/officeDocument/2006/relationships/hyperlink" Target="http://www.bilans-ges.ademe.fr/" TargetMode="External"/><Relationship Id="rId39" Type="http://schemas.openxmlformats.org/officeDocument/2006/relationships/hyperlink" Target="http://www.bilans-ges.ademe.fr/" TargetMode="External"/><Relationship Id="rId21" Type="http://schemas.openxmlformats.org/officeDocument/2006/relationships/hyperlink" Target="http://www.bilans-ges.ademe.fr/" TargetMode="External"/><Relationship Id="rId34" Type="http://schemas.openxmlformats.org/officeDocument/2006/relationships/hyperlink" Target="http://www.bilans-ges.ademe.fr/" TargetMode="External"/><Relationship Id="rId42" Type="http://schemas.openxmlformats.org/officeDocument/2006/relationships/hyperlink" Target="http://www.bilans-ges.ademe.fr/" TargetMode="External"/><Relationship Id="rId47" Type="http://schemas.openxmlformats.org/officeDocument/2006/relationships/hyperlink" Target="http://www.bilans-ges.ademe.fr/" TargetMode="External"/><Relationship Id="rId50" Type="http://schemas.openxmlformats.org/officeDocument/2006/relationships/hyperlink" Target="http://www.bilans-ges.ademe.fr/" TargetMode="External"/><Relationship Id="rId55" Type="http://schemas.openxmlformats.org/officeDocument/2006/relationships/hyperlink" Target="http://www.bilans-ges.ademe.fr/" TargetMode="External"/><Relationship Id="rId63" Type="http://schemas.openxmlformats.org/officeDocument/2006/relationships/drawing" Target="../drawings/drawing14.xml"/><Relationship Id="rId7" Type="http://schemas.openxmlformats.org/officeDocument/2006/relationships/hyperlink" Target="http://www.jechange.fr/energie/electricite/guides/prix-electricite-kwh-2435" TargetMode="External"/><Relationship Id="rId2" Type="http://schemas.openxmlformats.org/officeDocument/2006/relationships/hyperlink" Target="http://www2.ademe.fr/servlet/KBaseShow?catid=24826" TargetMode="External"/><Relationship Id="rId16" Type="http://schemas.openxmlformats.org/officeDocument/2006/relationships/hyperlink" Target="https://jancovici.com/changement-climatique/les-ges-et-nous/combien-de-gaz-a-effet-de-serre-dans-notre-poubelle/" TargetMode="External"/><Relationship Id="rId29" Type="http://schemas.openxmlformats.org/officeDocument/2006/relationships/hyperlink" Target="http://www.bilans-ges.ademe.fr/" TargetMode="External"/><Relationship Id="rId11" Type="http://schemas.openxmlformats.org/officeDocument/2006/relationships/hyperlink" Target="http://transports.blog.lemonde.fr/2013/03/11/les-petits-secrets-de-la-ratp-reveles-au-public/" TargetMode="External"/><Relationship Id="rId24" Type="http://schemas.openxmlformats.org/officeDocument/2006/relationships/hyperlink" Target="http://www.bilans-ges.ademe.fr/" TargetMode="External"/><Relationship Id="rId32" Type="http://schemas.openxmlformats.org/officeDocument/2006/relationships/hyperlink" Target="http://www.bilans-ges.ademe.fr/" TargetMode="External"/><Relationship Id="rId37" Type="http://schemas.openxmlformats.org/officeDocument/2006/relationships/hyperlink" Target="http://www.bilans-ges.ademe.fr/" TargetMode="External"/><Relationship Id="rId40" Type="http://schemas.openxmlformats.org/officeDocument/2006/relationships/hyperlink" Target="http://www.bilans-ges.ademe.fr/" TargetMode="External"/><Relationship Id="rId45" Type="http://schemas.openxmlformats.org/officeDocument/2006/relationships/hyperlink" Target="http://www.bilans-ges.ademe.fr/" TargetMode="External"/><Relationship Id="rId53" Type="http://schemas.openxmlformats.org/officeDocument/2006/relationships/hyperlink" Target="http://www.bilans-ges.ademe.fr/" TargetMode="External"/><Relationship Id="rId58" Type="http://schemas.openxmlformats.org/officeDocument/2006/relationships/hyperlink" Target="https://theshiftproject.org/lean-ict/" TargetMode="External"/><Relationship Id="rId5" Type="http://schemas.openxmlformats.org/officeDocument/2006/relationships/hyperlink" Target="http://www.carbone4.com/notre-revolution-carbone/" TargetMode="External"/><Relationship Id="rId61" Type="http://schemas.openxmlformats.org/officeDocument/2006/relationships/hyperlink" Target="http://www.carbone4.com/notre-revolution-carbone/" TargetMode="External"/><Relationship Id="rId19" Type="http://schemas.openxmlformats.org/officeDocument/2006/relationships/hyperlink" Target="http://www.fondation-nature-homme.org/sites/default/files/vehicule_electrique_synthese.pdf" TargetMode="External"/><Relationship Id="rId14" Type="http://schemas.openxmlformats.org/officeDocument/2006/relationships/hyperlink" Target="https://avenirclimatique.org/micmac/2013-Epargneclimat.com-%20Classement%20banques.pdf" TargetMode="External"/><Relationship Id="rId22" Type="http://schemas.openxmlformats.org/officeDocument/2006/relationships/hyperlink" Target="https://www.enercoop.fr/content/electricite-enercoop-quelles-emissions-de-co2-en-2016-0" TargetMode="External"/><Relationship Id="rId27" Type="http://schemas.openxmlformats.org/officeDocument/2006/relationships/hyperlink" Target="http://www.bilans-ges.ademe.fr/" TargetMode="External"/><Relationship Id="rId30" Type="http://schemas.openxmlformats.org/officeDocument/2006/relationships/hyperlink" Target="http://www.bilans-ges.ademe.fr/" TargetMode="External"/><Relationship Id="rId35" Type="http://schemas.openxmlformats.org/officeDocument/2006/relationships/hyperlink" Target="http://www.bilans-ges.ademe.fr/" TargetMode="External"/><Relationship Id="rId43" Type="http://schemas.openxmlformats.org/officeDocument/2006/relationships/hyperlink" Target="http://www.bilans-ges.ademe.fr/" TargetMode="External"/><Relationship Id="rId48" Type="http://schemas.openxmlformats.org/officeDocument/2006/relationships/hyperlink" Target="http://www.bilans-ges.ademe.fr/" TargetMode="External"/><Relationship Id="rId56" Type="http://schemas.openxmlformats.org/officeDocument/2006/relationships/hyperlink" Target="http://www.bilans-ges.ademe.fr/" TargetMode="External"/><Relationship Id="rId8" Type="http://schemas.openxmlformats.org/officeDocument/2006/relationships/hyperlink" Target="https://elyotherm.fr/comparatif-cout-energies-kwh" TargetMode="External"/><Relationship Id="rId51" Type="http://schemas.openxmlformats.org/officeDocument/2006/relationships/hyperlink" Target="http://www.bilans-ges.ademe.fr/" TargetMode="External"/><Relationship Id="rId3" Type="http://schemas.openxmlformats.org/officeDocument/2006/relationships/hyperlink" Target="https://www.financeresponsable.org/" TargetMode="External"/><Relationship Id="rId12" Type="http://schemas.openxmlformats.org/officeDocument/2006/relationships/hyperlink" Target="https://avenirclimatique.org/micmac/2013-Epargneclimat.com-%20Classement%20banques.pdf" TargetMode="External"/><Relationship Id="rId17" Type="http://schemas.openxmlformats.org/officeDocument/2006/relationships/hyperlink" Target="http://www.produits-casino.fr/developpement-durable/dd_indice-carbone-produits.html?debut_passerelle=15" TargetMode="External"/><Relationship Id="rId25" Type="http://schemas.openxmlformats.org/officeDocument/2006/relationships/hyperlink" Target="http://www.bilans-ges.ademe.fr/" TargetMode="External"/><Relationship Id="rId33" Type="http://schemas.openxmlformats.org/officeDocument/2006/relationships/hyperlink" Target="http://www.bilans-ges.ademe.fr/" TargetMode="External"/><Relationship Id="rId38" Type="http://schemas.openxmlformats.org/officeDocument/2006/relationships/hyperlink" Target="http://www.bilans-ges.ademe.fr/" TargetMode="External"/><Relationship Id="rId46" Type="http://schemas.openxmlformats.org/officeDocument/2006/relationships/hyperlink" Target="http://www.bilans-ges.ademe.fr/" TargetMode="External"/><Relationship Id="rId59" Type="http://schemas.openxmlformats.org/officeDocument/2006/relationships/hyperlink" Target="https://www.carbonbrief.org/factcheck-what-is-the-carbon-footprint-of-streaming-video-on-netflix" TargetMode="External"/><Relationship Id="rId20" Type="http://schemas.openxmlformats.org/officeDocument/2006/relationships/hyperlink" Target="http://www.bilans-ges.ademe.fr/" TargetMode="External"/><Relationship Id="rId41" Type="http://schemas.openxmlformats.org/officeDocument/2006/relationships/hyperlink" Target="http://www.bilans-ges.ademe.fr/" TargetMode="External"/><Relationship Id="rId54" Type="http://schemas.openxmlformats.org/officeDocument/2006/relationships/hyperlink" Target="http://www.bilans-ges.ademe.fr/" TargetMode="External"/><Relationship Id="rId62" Type="http://schemas.openxmlformats.org/officeDocument/2006/relationships/printerSettings" Target="../printerSettings/printerSettings8.bin"/><Relationship Id="rId1" Type="http://schemas.openxmlformats.org/officeDocument/2006/relationships/hyperlink" Target="http://www.paris.fr/pratique/deplacements-voirie/transports-en-commun/promouvoir-les-transports-collectifs/rub_385_stand_10755_port_1208" TargetMode="External"/><Relationship Id="rId6" Type="http://schemas.openxmlformats.org/officeDocument/2006/relationships/hyperlink" Target="http://www.basecarbone.fr/" TargetMode="External"/><Relationship Id="rId15" Type="http://schemas.openxmlformats.org/officeDocument/2006/relationships/hyperlink" Target="https://www.grdf.fr/dossiers/biomethane-biogaz/etude-biomethane-gaz-a-effet-de-serre" TargetMode="External"/><Relationship Id="rId23" Type="http://schemas.openxmlformats.org/officeDocument/2006/relationships/hyperlink" Target="http://www.bilans-ges.ademe.fr/" TargetMode="External"/><Relationship Id="rId28" Type="http://schemas.openxmlformats.org/officeDocument/2006/relationships/hyperlink" Target="http://www.bilans-ges.ademe.fr/" TargetMode="External"/><Relationship Id="rId36" Type="http://schemas.openxmlformats.org/officeDocument/2006/relationships/hyperlink" Target="http://www.bilans-ges.ademe.fr/" TargetMode="External"/><Relationship Id="rId49" Type="http://schemas.openxmlformats.org/officeDocument/2006/relationships/hyperlink" Target="http://www.bilans-ges.ademe.fr/" TargetMode="External"/><Relationship Id="rId57" Type="http://schemas.openxmlformats.org/officeDocument/2006/relationships/hyperlink" Target="https://theshiftproject.org/lean-ict/" TargetMode="External"/><Relationship Id="rId10" Type="http://schemas.openxmlformats.org/officeDocument/2006/relationships/hyperlink" Target="http://www.abm.fr/voyager-en-avion-le-guide-du-passager/en-complement/distances-et-durees-de-vol.html" TargetMode="External"/><Relationship Id="rId31" Type="http://schemas.openxmlformats.org/officeDocument/2006/relationships/hyperlink" Target="http://www.bilans-ges.ademe.fr/" TargetMode="External"/><Relationship Id="rId44" Type="http://schemas.openxmlformats.org/officeDocument/2006/relationships/hyperlink" Target="http://www.bilans-ges.ademe.fr/" TargetMode="External"/><Relationship Id="rId52" Type="http://schemas.openxmlformats.org/officeDocument/2006/relationships/hyperlink" Target="http://www.bilans-ges.ademe.fr/" TargetMode="External"/><Relationship Id="rId60" Type="http://schemas.openxmlformats.org/officeDocument/2006/relationships/hyperlink" Target="https://ree.developpement-durable.gouv.fr/themes/defis-environnementaux/changement-climatique/empreinte-carbone/article/l-empreinte-carbone-de-la-France" TargetMode="External"/><Relationship Id="rId4" Type="http://schemas.openxmlformats.org/officeDocument/2006/relationships/hyperlink" Target="https://ree.developpement-durable.gouv.fr/themes/defis-environnementaux/changement-climatique/empreinte-carbone/article/l-empreinte-carbone-de-la-France" TargetMode="External"/><Relationship Id="rId9" Type="http://schemas.openxmlformats.org/officeDocument/2006/relationships/hyperlink" Target="http://www.basecarbone.fr/"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F35"/>
  <sheetViews>
    <sheetView showGridLines="0" tabSelected="1" workbookViewId="0">
      <pane ySplit="1" topLeftCell="A2" activePane="bottomLeft" state="frozen"/>
      <selection pane="bottomLeft" activeCell="G16" sqref="G16"/>
    </sheetView>
  </sheetViews>
  <sheetFormatPr baseColWidth="10" defaultColWidth="11.5703125" defaultRowHeight="12.75" x14ac:dyDescent="0.2"/>
  <cols>
    <col min="1" max="6" width="21.5703125" customWidth="1"/>
  </cols>
  <sheetData>
    <row r="1" spans="1:6" ht="68.45" customHeight="1" x14ac:dyDescent="0.2">
      <c r="A1" s="390" t="s">
        <v>123</v>
      </c>
      <c r="B1" s="391"/>
      <c r="C1" s="391"/>
      <c r="D1" s="391"/>
      <c r="E1" s="391"/>
      <c r="F1" s="391"/>
    </row>
    <row r="2" spans="1:6" x14ac:dyDescent="0.2">
      <c r="F2" s="23" t="s">
        <v>517</v>
      </c>
    </row>
    <row r="3" spans="1:6" ht="244.7" customHeight="1" x14ac:dyDescent="0.2">
      <c r="A3" s="392" t="s">
        <v>184</v>
      </c>
      <c r="B3" s="393"/>
      <c r="C3" s="393"/>
      <c r="D3" s="393"/>
      <c r="E3" s="393"/>
      <c r="F3" s="393"/>
    </row>
    <row r="4" spans="1:6" ht="7.35" customHeight="1" x14ac:dyDescent="0.2"/>
    <row r="5" spans="1:6" ht="22.5" x14ac:dyDescent="0.2">
      <c r="A5" s="388" t="s">
        <v>109</v>
      </c>
      <c r="B5" s="389"/>
      <c r="C5" s="389"/>
      <c r="D5" s="389"/>
      <c r="E5" s="389"/>
      <c r="F5" s="389"/>
    </row>
    <row r="6" spans="1:6" s="23" customFormat="1" ht="12.75" customHeight="1" x14ac:dyDescent="0.2"/>
    <row r="7" spans="1:6" s="23" customFormat="1" ht="12.75" customHeight="1" x14ac:dyDescent="0.2"/>
    <row r="8" spans="1:6" s="23" customFormat="1" ht="12.75" customHeight="1" x14ac:dyDescent="0.2"/>
    <row r="9" spans="1:6" s="23" customFormat="1" ht="12.75" customHeight="1" x14ac:dyDescent="0.2"/>
    <row r="10" spans="1:6" s="23" customFormat="1" ht="12.75" customHeight="1" x14ac:dyDescent="0.2"/>
    <row r="11" spans="1:6" ht="18" x14ac:dyDescent="0.2">
      <c r="A11" s="394" t="s">
        <v>185</v>
      </c>
      <c r="B11" s="394"/>
      <c r="C11" s="394"/>
      <c r="D11" s="394"/>
      <c r="E11" s="394"/>
      <c r="F11" s="394"/>
    </row>
    <row r="12" spans="1:6" s="23" customFormat="1" ht="12.75" customHeight="1" x14ac:dyDescent="0.2"/>
    <row r="13" spans="1:6" s="23" customFormat="1" ht="12.75" customHeight="1" x14ac:dyDescent="0.2"/>
    <row r="14" spans="1:6" s="23" customFormat="1" ht="12.75" customHeight="1" x14ac:dyDescent="0.2"/>
    <row r="15" spans="1:6" s="23" customFormat="1" ht="12.75" customHeight="1" x14ac:dyDescent="0.2"/>
    <row r="16" spans="1:6" s="23" customFormat="1" ht="12.75" customHeight="1" x14ac:dyDescent="0.2"/>
    <row r="17" spans="1:6" ht="18" x14ac:dyDescent="0.2">
      <c r="A17" s="394" t="s">
        <v>127</v>
      </c>
      <c r="B17" s="394"/>
      <c r="C17" s="394"/>
      <c r="D17" s="394"/>
      <c r="E17" s="394"/>
      <c r="F17" s="394"/>
    </row>
    <row r="18" spans="1:6" x14ac:dyDescent="0.2">
      <c r="A18" s="387" t="s">
        <v>44</v>
      </c>
      <c r="B18" s="387"/>
      <c r="C18" s="379" t="s">
        <v>485</v>
      </c>
    </row>
    <row r="19" spans="1:6" x14ac:dyDescent="0.2">
      <c r="A19" s="387" t="s">
        <v>45</v>
      </c>
      <c r="B19" s="387"/>
      <c r="C19" s="4" t="s">
        <v>43</v>
      </c>
    </row>
    <row r="26" spans="1:6" x14ac:dyDescent="0.2">
      <c r="B26" s="4" t="s">
        <v>111</v>
      </c>
      <c r="D26" s="4" t="s">
        <v>110</v>
      </c>
    </row>
    <row r="31" spans="1:6" x14ac:dyDescent="0.2">
      <c r="A31" s="386" t="s">
        <v>120</v>
      </c>
      <c r="B31" s="386"/>
      <c r="C31" s="386"/>
    </row>
    <row r="32" spans="1:6" x14ac:dyDescent="0.2">
      <c r="A32" s="385" t="s">
        <v>119</v>
      </c>
      <c r="B32" s="385"/>
      <c r="C32" s="385"/>
    </row>
    <row r="33" spans="1:1" x14ac:dyDescent="0.2">
      <c r="A33" s="4" t="s">
        <v>121</v>
      </c>
    </row>
    <row r="35" spans="1:1" x14ac:dyDescent="0.2">
      <c r="A35" s="6" t="s">
        <v>124</v>
      </c>
    </row>
  </sheetData>
  <mergeCells count="9">
    <mergeCell ref="A32:C32"/>
    <mergeCell ref="A31:C31"/>
    <mergeCell ref="A19:B19"/>
    <mergeCell ref="A5:F5"/>
    <mergeCell ref="A1:F1"/>
    <mergeCell ref="A3:F3"/>
    <mergeCell ref="A11:F11"/>
    <mergeCell ref="A17:F17"/>
    <mergeCell ref="A18:B18"/>
  </mergeCells>
  <hyperlinks>
    <hyperlink ref="C18" r:id="rId1" xr:uid="{00000000-0004-0000-0000-000000000000}"/>
    <hyperlink ref="C19" r:id="rId2" xr:uid="{00000000-0004-0000-0000-000001000000}"/>
    <hyperlink ref="D26" r:id="rId3" xr:uid="{00000000-0004-0000-0000-000002000000}"/>
    <hyperlink ref="B26" r:id="rId4" xr:uid="{00000000-0004-0000-0000-000003000000}"/>
    <hyperlink ref="A32" r:id="rId5" display="http://creativecommons.org/licenses/by/4.0/" xr:uid="{00000000-0004-0000-0000-000004000000}"/>
    <hyperlink ref="A33" location="FAQ!A8" display="qu'est-ce que ça implique ?" xr:uid="{00000000-0004-0000-0000-000005000000}"/>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G56"/>
  <sheetViews>
    <sheetView showGridLines="0" topLeftCell="A34" workbookViewId="0">
      <selection activeCell="G49" sqref="G49"/>
    </sheetView>
  </sheetViews>
  <sheetFormatPr baseColWidth="10" defaultColWidth="11.5703125" defaultRowHeight="12.75" x14ac:dyDescent="0.2"/>
  <cols>
    <col min="1" max="6" width="21.5703125" customWidth="1"/>
  </cols>
  <sheetData>
    <row r="1" spans="1:7" ht="53.45" customHeight="1" x14ac:dyDescent="0.2">
      <c r="A1" s="396" t="s">
        <v>221</v>
      </c>
      <c r="B1" s="396"/>
      <c r="C1" s="396"/>
      <c r="D1" s="396"/>
      <c r="E1" s="396"/>
      <c r="F1" s="396"/>
    </row>
    <row r="2" spans="1:7" ht="7.35" customHeight="1" x14ac:dyDescent="0.2"/>
    <row r="3" spans="1:7" x14ac:dyDescent="0.2">
      <c r="A3" s="400" t="s">
        <v>143</v>
      </c>
      <c r="B3" s="400"/>
      <c r="C3" s="400"/>
      <c r="D3" s="400"/>
      <c r="E3" s="400"/>
      <c r="F3" s="400"/>
    </row>
    <row r="4" spans="1:7" ht="6" customHeight="1" x14ac:dyDescent="0.2"/>
    <row r="5" spans="1:7" ht="20.25" x14ac:dyDescent="0.25">
      <c r="A5" s="397" t="s">
        <v>183</v>
      </c>
      <c r="B5" s="397"/>
      <c r="C5" s="397"/>
      <c r="D5" s="397"/>
      <c r="E5" s="397"/>
      <c r="F5" s="397"/>
      <c r="G5" s="1"/>
    </row>
    <row r="6" spans="1:7" s="23" customFormat="1" ht="12.75" customHeight="1" x14ac:dyDescent="0.2"/>
    <row r="7" spans="1:7" ht="12.75" customHeight="1" x14ac:dyDescent="0.25">
      <c r="A7" s="399"/>
      <c r="B7" s="399"/>
      <c r="C7" s="399"/>
      <c r="D7" s="399"/>
      <c r="E7" s="399"/>
      <c r="F7" s="399"/>
    </row>
    <row r="8" spans="1:7" s="23" customFormat="1" ht="12.75" customHeight="1" x14ac:dyDescent="0.25">
      <c r="A8" s="24"/>
      <c r="B8" s="24"/>
      <c r="C8" s="24"/>
      <c r="D8" s="24"/>
      <c r="E8" s="24"/>
      <c r="F8" s="24"/>
    </row>
    <row r="9" spans="1:7" s="23" customFormat="1" ht="12.75" customHeight="1" x14ac:dyDescent="0.25">
      <c r="A9" s="24"/>
      <c r="B9" s="24"/>
      <c r="C9" s="24"/>
      <c r="D9" s="24"/>
      <c r="E9" s="24"/>
      <c r="F9" s="24"/>
    </row>
    <row r="10" spans="1:7" s="23" customFormat="1" ht="12.75" customHeight="1" x14ac:dyDescent="0.25">
      <c r="A10" s="24"/>
      <c r="B10" s="24"/>
      <c r="C10" s="24"/>
      <c r="D10" s="24"/>
      <c r="E10" s="24"/>
      <c r="F10" s="24"/>
    </row>
    <row r="11" spans="1:7" ht="12.75" customHeight="1" x14ac:dyDescent="0.2"/>
    <row r="12" spans="1:7" ht="19.5" x14ac:dyDescent="0.2">
      <c r="A12" s="397" t="s">
        <v>0</v>
      </c>
      <c r="B12" s="397"/>
      <c r="C12" s="397"/>
      <c r="D12" s="397"/>
      <c r="E12" s="397"/>
      <c r="F12" s="397"/>
    </row>
    <row r="13" spans="1:7" ht="12.75" customHeight="1" x14ac:dyDescent="0.25">
      <c r="A13" s="399"/>
      <c r="B13" s="399"/>
      <c r="C13" s="399"/>
      <c r="D13" s="399"/>
      <c r="E13" s="399"/>
      <c r="F13" s="399"/>
    </row>
    <row r="14" spans="1:7" s="23" customFormat="1" ht="12.75" customHeight="1" x14ac:dyDescent="0.25">
      <c r="A14" s="24"/>
      <c r="B14" s="24"/>
      <c r="C14" s="24"/>
      <c r="D14" s="24"/>
      <c r="E14" s="24"/>
      <c r="F14" s="24"/>
    </row>
    <row r="15" spans="1:7" s="23" customFormat="1" ht="12.75" customHeight="1" x14ac:dyDescent="0.25">
      <c r="A15" s="24"/>
      <c r="B15" s="24"/>
      <c r="C15" s="24"/>
      <c r="D15" s="24"/>
      <c r="E15" s="24"/>
      <c r="F15" s="24"/>
    </row>
    <row r="16" spans="1:7" s="23" customFormat="1" ht="12.75" customHeight="1" x14ac:dyDescent="0.25">
      <c r="A16" s="24"/>
      <c r="B16" s="24"/>
      <c r="C16" s="24"/>
      <c r="D16" s="24"/>
      <c r="E16" s="24"/>
      <c r="F16" s="24"/>
    </row>
    <row r="17" spans="1:6" s="23" customFormat="1" ht="12.75" customHeight="1" x14ac:dyDescent="0.25">
      <c r="A17" s="24"/>
      <c r="B17" s="24"/>
      <c r="C17" s="24"/>
      <c r="D17" s="24"/>
      <c r="E17" s="24"/>
      <c r="F17" s="24"/>
    </row>
    <row r="18" spans="1:6" ht="12.75" customHeight="1" x14ac:dyDescent="0.2"/>
    <row r="19" spans="1:6" ht="39.75" customHeight="1" x14ac:dyDescent="0.2">
      <c r="A19" s="398" t="s">
        <v>125</v>
      </c>
      <c r="B19" s="398"/>
      <c r="C19" s="398"/>
      <c r="D19" s="398"/>
      <c r="E19" s="398"/>
      <c r="F19" s="398"/>
    </row>
    <row r="20" spans="1:6" ht="12.75" customHeight="1" x14ac:dyDescent="0.25">
      <c r="A20" s="399"/>
      <c r="B20" s="399"/>
      <c r="C20" s="399"/>
      <c r="D20" s="399"/>
      <c r="E20" s="399"/>
      <c r="F20" s="399"/>
    </row>
    <row r="21" spans="1:6" s="23" customFormat="1" ht="12.75" customHeight="1" x14ac:dyDescent="0.25">
      <c r="A21" s="24"/>
      <c r="B21" s="24"/>
      <c r="C21" s="24"/>
      <c r="D21" s="24"/>
      <c r="E21" s="24"/>
      <c r="F21" s="24"/>
    </row>
    <row r="22" spans="1:6" s="23" customFormat="1" ht="12.75" customHeight="1" x14ac:dyDescent="0.25">
      <c r="A22" s="24"/>
      <c r="B22" s="24"/>
      <c r="C22" s="24"/>
      <c r="D22" s="24"/>
      <c r="E22" s="24"/>
      <c r="F22" s="24"/>
    </row>
    <row r="23" spans="1:6" s="23" customFormat="1" ht="12.75" customHeight="1" x14ac:dyDescent="0.25">
      <c r="A23" s="24"/>
      <c r="B23" s="24"/>
      <c r="C23" s="24"/>
      <c r="D23" s="24"/>
      <c r="E23" s="24"/>
      <c r="F23" s="24"/>
    </row>
    <row r="24" spans="1:6" s="23" customFormat="1" ht="12.75" customHeight="1" x14ac:dyDescent="0.25">
      <c r="A24" s="24"/>
      <c r="B24" s="24"/>
      <c r="C24" s="24"/>
      <c r="D24" s="24"/>
      <c r="E24" s="24"/>
      <c r="F24" s="24"/>
    </row>
    <row r="25" spans="1:6" ht="12.75" customHeight="1" x14ac:dyDescent="0.2"/>
    <row r="26" spans="1:6" ht="19.5" x14ac:dyDescent="0.2">
      <c r="A26" s="398" t="s">
        <v>126</v>
      </c>
      <c r="B26" s="398"/>
      <c r="C26" s="398"/>
      <c r="D26" s="398"/>
      <c r="E26" s="398"/>
      <c r="F26" s="398"/>
    </row>
    <row r="27" spans="1:6" s="23" customFormat="1" ht="12.75" customHeight="1" x14ac:dyDescent="0.2"/>
    <row r="28" spans="1:6" s="23" customFormat="1" ht="12.75" customHeight="1" x14ac:dyDescent="0.2"/>
    <row r="29" spans="1:6" s="23" customFormat="1" ht="12.75" customHeight="1" x14ac:dyDescent="0.2"/>
    <row r="30" spans="1:6" s="23" customFormat="1" ht="12.75" customHeight="1" x14ac:dyDescent="0.2"/>
    <row r="31" spans="1:6" ht="12.75" customHeight="1" x14ac:dyDescent="0.25">
      <c r="A31" s="399"/>
      <c r="B31" s="399"/>
      <c r="C31" s="399"/>
      <c r="D31" s="399"/>
      <c r="E31" s="399"/>
      <c r="F31" s="399"/>
    </row>
    <row r="32" spans="1:6" ht="12.75" customHeight="1" x14ac:dyDescent="0.2">
      <c r="A32" s="5"/>
      <c r="B32" s="5"/>
      <c r="C32" s="5"/>
      <c r="D32" s="5"/>
      <c r="E32" s="5"/>
      <c r="F32" s="5"/>
    </row>
    <row r="33" spans="1:6" ht="18.95" customHeight="1" x14ac:dyDescent="0.2">
      <c r="A33" s="398" t="s">
        <v>128</v>
      </c>
      <c r="B33" s="398"/>
      <c r="C33" s="398"/>
      <c r="D33" s="398"/>
      <c r="E33" s="398"/>
      <c r="F33" s="398"/>
    </row>
    <row r="34" spans="1:6" ht="12.75" customHeight="1" x14ac:dyDescent="0.2"/>
    <row r="35" spans="1:6" s="23" customFormat="1" ht="12.75" customHeight="1" x14ac:dyDescent="0.2"/>
    <row r="36" spans="1:6" s="23" customFormat="1" ht="12.75" customHeight="1" x14ac:dyDescent="0.2"/>
    <row r="37" spans="1:6" s="23" customFormat="1" ht="12.75" customHeight="1" x14ac:dyDescent="0.2"/>
    <row r="38" spans="1:6" s="23" customFormat="1" ht="12.75" customHeight="1" x14ac:dyDescent="0.2"/>
    <row r="39" spans="1:6" ht="12.75" customHeight="1" x14ac:dyDescent="0.25">
      <c r="A39" s="399"/>
      <c r="B39" s="399"/>
      <c r="C39" s="399"/>
      <c r="D39" s="399"/>
      <c r="E39" s="399"/>
      <c r="F39" s="399"/>
    </row>
    <row r="40" spans="1:6" ht="19.5" x14ac:dyDescent="0.2">
      <c r="A40" s="398" t="s">
        <v>144</v>
      </c>
      <c r="B40" s="398"/>
      <c r="C40" s="398"/>
      <c r="D40" s="398"/>
      <c r="E40" s="398"/>
      <c r="F40" s="398"/>
    </row>
    <row r="41" spans="1:6" s="23" customFormat="1" ht="12.75" customHeight="1" x14ac:dyDescent="0.2"/>
    <row r="42" spans="1:6" s="23" customFormat="1" ht="12.75" customHeight="1" x14ac:dyDescent="0.2"/>
    <row r="43" spans="1:6" s="23" customFormat="1" ht="12.75" customHeight="1" x14ac:dyDescent="0.2"/>
    <row r="44" spans="1:6" s="23" customFormat="1" ht="12.75" customHeight="1" x14ac:dyDescent="0.2"/>
    <row r="45" spans="1:6" s="23" customFormat="1" ht="12.75" customHeight="1" x14ac:dyDescent="0.2"/>
    <row r="46" spans="1:6" s="23" customFormat="1" ht="12.75" customHeight="1" x14ac:dyDescent="0.2"/>
    <row r="47" spans="1:6" ht="19.5" x14ac:dyDescent="0.2">
      <c r="A47" s="398" t="s">
        <v>127</v>
      </c>
      <c r="B47" s="398"/>
      <c r="C47" s="398"/>
      <c r="D47" s="398"/>
      <c r="E47" s="398"/>
      <c r="F47" s="398"/>
    </row>
    <row r="48" spans="1:6" x14ac:dyDescent="0.2">
      <c r="A48" s="395" t="s">
        <v>44</v>
      </c>
      <c r="B48" s="395"/>
      <c r="C48" s="2" t="s">
        <v>15</v>
      </c>
    </row>
    <row r="49" spans="1:4" x14ac:dyDescent="0.2">
      <c r="A49" s="395" t="s">
        <v>45</v>
      </c>
      <c r="B49" s="395"/>
      <c r="C49" s="4" t="s">
        <v>489</v>
      </c>
    </row>
    <row r="56" spans="1:4" x14ac:dyDescent="0.2">
      <c r="B56" s="69" t="s">
        <v>111</v>
      </c>
      <c r="D56" s="69" t="s">
        <v>110</v>
      </c>
    </row>
  </sheetData>
  <mergeCells count="16">
    <mergeCell ref="A49:B49"/>
    <mergeCell ref="A1:F1"/>
    <mergeCell ref="A5:F5"/>
    <mergeCell ref="A12:F12"/>
    <mergeCell ref="A19:F19"/>
    <mergeCell ref="A26:F26"/>
    <mergeCell ref="A40:F40"/>
    <mergeCell ref="A7:F7"/>
    <mergeCell ref="A13:F13"/>
    <mergeCell ref="A3:F3"/>
    <mergeCell ref="A20:F20"/>
    <mergeCell ref="A31:F31"/>
    <mergeCell ref="A33:F33"/>
    <mergeCell ref="A39:F39"/>
    <mergeCell ref="A47:F47"/>
    <mergeCell ref="A48:B48"/>
  </mergeCells>
  <hyperlinks>
    <hyperlink ref="C48" r:id="rId1" xr:uid="{00000000-0004-0000-0100-000000000000}"/>
    <hyperlink ref="C49" r:id="rId2" xr:uid="{00000000-0004-0000-0100-000001000000}"/>
    <hyperlink ref="D56" r:id="rId3" xr:uid="{00000000-0004-0000-0100-000002000000}"/>
    <hyperlink ref="B56" r:id="rId4" xr:uid="{00000000-0004-0000-0100-000003000000}"/>
  </hyperlinks>
  <pageMargins left="0.78749999999999998" right="0.78749999999999998" top="1.0527777777777778" bottom="1.0527777777777778" header="0.78749999999999998" footer="0.78749999999999998"/>
  <pageSetup paperSize="9" firstPageNumber="0" orientation="portrait" horizontalDpi="300" verticalDpi="300" r:id="rId5"/>
  <headerFooter alignWithMargins="0">
    <oddHeader>&amp;C&amp;"Times New Roman,Regular"&amp;12&amp;A</oddHeader>
    <oddFooter>&amp;C&amp;"Times New Roman,Regular"&amp;12Page &amp;P</oddFooter>
  </headerFooter>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159"/>
  <sheetViews>
    <sheetView showGridLines="0" zoomScale="90" zoomScaleNormal="90" workbookViewId="0">
      <pane xSplit="2" ySplit="8" topLeftCell="C33" activePane="bottomRight" state="frozen"/>
      <selection pane="topRight" activeCell="D1" sqref="D1"/>
      <selection pane="bottomLeft" activeCell="A7" sqref="A7"/>
      <selection pane="bottomRight" activeCell="J26" sqref="J26:O52"/>
    </sheetView>
  </sheetViews>
  <sheetFormatPr baseColWidth="10" defaultColWidth="11.42578125" defaultRowHeight="12.75" x14ac:dyDescent="0.2"/>
  <cols>
    <col min="1" max="1" width="47.7109375" style="7" bestFit="1" customWidth="1"/>
    <col min="2" max="2" width="19.5703125" style="7" customWidth="1"/>
    <col min="3" max="3" width="2.5703125" style="7" customWidth="1"/>
    <col min="4" max="4" width="15.5703125" style="7" customWidth="1"/>
    <col min="5" max="5" width="15.5703125" style="7" bestFit="1" customWidth="1"/>
    <col min="6" max="6" width="2.5703125" style="8" customWidth="1"/>
    <col min="7" max="7" width="18.5703125" style="7" hidden="1" customWidth="1"/>
    <col min="8" max="8" width="18.5703125" style="7" customWidth="1"/>
    <col min="9" max="9" width="3.5703125" style="7" customWidth="1"/>
    <col min="10" max="13" width="11.42578125" style="7"/>
    <col min="14" max="14" width="4.42578125" style="7" customWidth="1"/>
    <col min="15" max="15" width="18.5703125" style="7" customWidth="1"/>
    <col min="16" max="16384" width="11.42578125" style="7"/>
  </cols>
  <sheetData>
    <row r="1" spans="1:15" ht="47.45" customHeight="1" x14ac:dyDescent="0.2">
      <c r="A1" s="418" t="s">
        <v>469</v>
      </c>
      <c r="B1" s="418"/>
      <c r="C1" s="418"/>
      <c r="D1" s="418"/>
      <c r="E1" s="418"/>
      <c r="F1" s="418"/>
      <c r="G1" s="418"/>
      <c r="H1" s="418"/>
    </row>
    <row r="7" spans="1:15" ht="22.5" customHeight="1" x14ac:dyDescent="0.2">
      <c r="A7" s="419" t="s">
        <v>112</v>
      </c>
      <c r="B7" s="419"/>
      <c r="C7" s="266"/>
      <c r="D7" s="419" t="s">
        <v>145</v>
      </c>
      <c r="E7" s="419"/>
      <c r="F7" s="266"/>
      <c r="G7" s="419" t="s">
        <v>53</v>
      </c>
      <c r="H7" s="419"/>
    </row>
    <row r="8" spans="1:15" ht="24.95" customHeight="1" thickBot="1" x14ac:dyDescent="0.25">
      <c r="A8" s="419"/>
      <c r="B8" s="419"/>
      <c r="C8" s="266"/>
      <c r="D8" s="267" t="s">
        <v>318</v>
      </c>
      <c r="E8" s="268" t="s">
        <v>76</v>
      </c>
      <c r="F8" s="269"/>
      <c r="G8" s="267" t="s">
        <v>198</v>
      </c>
      <c r="H8" s="267" t="s">
        <v>197</v>
      </c>
    </row>
    <row r="9" spans="1:15" ht="24" customHeight="1" x14ac:dyDescent="0.2">
      <c r="A9" s="420" t="s">
        <v>1</v>
      </c>
      <c r="B9" s="420"/>
      <c r="C9" s="266"/>
      <c r="D9" s="266"/>
      <c r="E9" s="266"/>
      <c r="F9" s="266"/>
      <c r="G9" s="266"/>
      <c r="H9" s="266"/>
      <c r="J9" s="401" t="s">
        <v>503</v>
      </c>
      <c r="K9" s="402"/>
      <c r="L9" s="402"/>
      <c r="M9" s="402"/>
      <c r="N9" s="402"/>
      <c r="O9" s="403"/>
    </row>
    <row r="10" spans="1:15" ht="42.75" customHeight="1" x14ac:dyDescent="0.2">
      <c r="A10" s="420"/>
      <c r="B10" s="420"/>
      <c r="C10" s="266"/>
      <c r="D10" s="266"/>
      <c r="E10" s="266"/>
      <c r="F10" s="266"/>
      <c r="G10" s="266"/>
      <c r="H10" s="266"/>
      <c r="J10" s="404"/>
      <c r="K10" s="405"/>
      <c r="L10" s="405"/>
      <c r="M10" s="405"/>
      <c r="N10" s="405"/>
      <c r="O10" s="406"/>
    </row>
    <row r="11" spans="1:15" ht="24" customHeight="1" x14ac:dyDescent="0.2">
      <c r="A11" s="415" t="s">
        <v>31</v>
      </c>
      <c r="B11" s="415"/>
      <c r="C11" s="41"/>
      <c r="D11" s="41"/>
      <c r="E11" s="41"/>
      <c r="F11" s="41"/>
      <c r="G11" s="41"/>
      <c r="H11" s="41"/>
      <c r="J11" s="404"/>
      <c r="K11" s="405"/>
      <c r="L11" s="405"/>
      <c r="M11" s="405"/>
      <c r="N11" s="405"/>
      <c r="O11" s="406"/>
    </row>
    <row r="12" spans="1:15" ht="20.25" customHeight="1" thickBot="1" x14ac:dyDescent="0.25">
      <c r="A12" s="116" t="s">
        <v>146</v>
      </c>
      <c r="B12" s="173"/>
      <c r="C12" s="149"/>
      <c r="D12" s="270"/>
      <c r="E12" s="270"/>
      <c r="F12" s="144"/>
      <c r="G12" s="270"/>
      <c r="H12" s="270"/>
      <c r="J12" s="404"/>
      <c r="K12" s="405"/>
      <c r="L12" s="405"/>
      <c r="M12" s="405"/>
      <c r="N12" s="405"/>
      <c r="O12" s="406"/>
    </row>
    <row r="13" spans="1:15" ht="20.25" customHeight="1" thickBot="1" x14ac:dyDescent="0.25">
      <c r="A13" s="117" t="s">
        <v>158</v>
      </c>
      <c r="B13" s="174"/>
      <c r="C13" s="150"/>
      <c r="D13" s="283">
        <f>'Sources des données'!C9</f>
        <v>17.5</v>
      </c>
      <c r="E13" s="55" t="s">
        <v>375</v>
      </c>
      <c r="F13" s="145"/>
      <c r="G13" s="61">
        <f>H13*11/44</f>
        <v>0</v>
      </c>
      <c r="H13" s="282">
        <f>IF(B12=0,B13*D13,B13*D13/B12)</f>
        <v>0</v>
      </c>
      <c r="J13" s="404"/>
      <c r="K13" s="405"/>
      <c r="L13" s="405"/>
      <c r="M13" s="405"/>
      <c r="N13" s="405"/>
      <c r="O13" s="406"/>
    </row>
    <row r="14" spans="1:15" ht="24" customHeight="1" x14ac:dyDescent="0.2">
      <c r="A14" s="413" t="s">
        <v>157</v>
      </c>
      <c r="B14" s="413"/>
      <c r="C14" s="43"/>
      <c r="D14" s="417" t="s">
        <v>231</v>
      </c>
      <c r="E14" s="417"/>
      <c r="F14" s="417"/>
      <c r="G14" s="417"/>
      <c r="H14" s="417"/>
      <c r="J14" s="404"/>
      <c r="K14" s="405"/>
      <c r="L14" s="405"/>
      <c r="M14" s="405"/>
      <c r="N14" s="405"/>
      <c r="O14" s="406"/>
    </row>
    <row r="15" spans="1:15" ht="20.25" customHeight="1" thickBot="1" x14ac:dyDescent="0.25">
      <c r="A15" s="53" t="s">
        <v>350</v>
      </c>
      <c r="B15" s="173"/>
      <c r="C15" s="149"/>
      <c r="D15" s="249">
        <f>'Sources des données'!C11</f>
        <v>5.7099999999999998E-2</v>
      </c>
      <c r="E15" s="55" t="s">
        <v>269</v>
      </c>
      <c r="F15" s="144"/>
      <c r="G15" s="62">
        <f>IFERROR(H15*12/44,0)</f>
        <v>0</v>
      </c>
      <c r="H15" s="165">
        <f>IFERROR(D15*B15/B12,0)</f>
        <v>0</v>
      </c>
      <c r="J15" s="404"/>
      <c r="K15" s="405"/>
      <c r="L15" s="405"/>
      <c r="M15" s="405"/>
      <c r="N15" s="405"/>
      <c r="O15" s="406"/>
    </row>
    <row r="16" spans="1:15" ht="20.25" customHeight="1" thickBot="1" x14ac:dyDescent="0.25">
      <c r="A16" s="52" t="s">
        <v>349</v>
      </c>
      <c r="B16" s="174"/>
      <c r="C16" s="150"/>
      <c r="D16" s="252">
        <f>'Sources des données'!C12</f>
        <v>1.24E-2</v>
      </c>
      <c r="E16" s="55" t="s">
        <v>269</v>
      </c>
      <c r="F16" s="145"/>
      <c r="G16" s="61">
        <f>H16*12/44</f>
        <v>0</v>
      </c>
      <c r="H16" s="165">
        <f>IFERROR(D16*B16/B12,0)</f>
        <v>0</v>
      </c>
      <c r="J16" s="404"/>
      <c r="K16" s="405"/>
      <c r="L16" s="405"/>
      <c r="M16" s="405"/>
      <c r="N16" s="405"/>
      <c r="O16" s="406"/>
    </row>
    <row r="17" spans="1:18" ht="24" customHeight="1" thickBot="1" x14ac:dyDescent="0.25">
      <c r="A17" s="413" t="s">
        <v>148</v>
      </c>
      <c r="B17" s="413"/>
      <c r="C17" s="43"/>
      <c r="D17" s="417" t="s">
        <v>231</v>
      </c>
      <c r="E17" s="417"/>
      <c r="F17" s="417"/>
      <c r="G17" s="417"/>
      <c r="H17" s="417"/>
      <c r="J17" s="404"/>
      <c r="K17" s="405"/>
      <c r="L17" s="405"/>
      <c r="M17" s="405"/>
      <c r="N17" s="405"/>
      <c r="O17" s="406"/>
    </row>
    <row r="18" spans="1:18" ht="20.25" customHeight="1" thickBot="1" x14ac:dyDescent="0.25">
      <c r="A18" s="58" t="s">
        <v>264</v>
      </c>
      <c r="B18" s="175"/>
      <c r="C18" s="151"/>
      <c r="D18" s="246">
        <f>'Sources des données'!C14</f>
        <v>0.22700000000000001</v>
      </c>
      <c r="E18" s="55" t="s">
        <v>269</v>
      </c>
      <c r="F18" s="146"/>
      <c r="G18" s="60">
        <f>IFERROR(H18*12/44,)</f>
        <v>0</v>
      </c>
      <c r="H18" s="166">
        <f>IFERROR(D18*B18/B12,)</f>
        <v>0</v>
      </c>
      <c r="J18" s="404"/>
      <c r="K18" s="405"/>
      <c r="L18" s="405"/>
      <c r="M18" s="405"/>
      <c r="N18" s="405"/>
      <c r="O18" s="406"/>
    </row>
    <row r="19" spans="1:18" ht="20.25" customHeight="1" thickBot="1" x14ac:dyDescent="0.25">
      <c r="A19" s="57" t="s">
        <v>265</v>
      </c>
      <c r="B19" s="173"/>
      <c r="C19" s="149"/>
      <c r="D19" s="249">
        <f>'Sources des données'!C16</f>
        <v>0.27</v>
      </c>
      <c r="E19" s="55" t="s">
        <v>269</v>
      </c>
      <c r="F19" s="144"/>
      <c r="G19" s="60">
        <f>IFERROR(H19*12/44,)</f>
        <v>0</v>
      </c>
      <c r="H19" s="166">
        <f>IFERROR(D19*B19/B12,)</f>
        <v>0</v>
      </c>
      <c r="J19" s="404"/>
      <c r="K19" s="405"/>
      <c r="L19" s="405"/>
      <c r="M19" s="405"/>
      <c r="N19" s="405"/>
      <c r="O19" s="406"/>
    </row>
    <row r="20" spans="1:18" ht="20.25" customHeight="1" thickBot="1" x14ac:dyDescent="0.25">
      <c r="A20" s="57" t="s">
        <v>266</v>
      </c>
      <c r="B20" s="173"/>
      <c r="C20" s="149"/>
      <c r="D20" s="250">
        <f>'Sources des données'!C17</f>
        <v>5.6999999999999995E-2</v>
      </c>
      <c r="E20" s="55" t="s">
        <v>269</v>
      </c>
      <c r="F20" s="144"/>
      <c r="G20" s="60">
        <f>IFERROR(H20*12/44,)</f>
        <v>0</v>
      </c>
      <c r="H20" s="166">
        <f>IFERROR(D20*B20/B12,)</f>
        <v>0</v>
      </c>
      <c r="J20" s="404"/>
      <c r="K20" s="405"/>
      <c r="L20" s="405"/>
      <c r="M20" s="405"/>
      <c r="N20" s="405"/>
      <c r="O20" s="406"/>
    </row>
    <row r="21" spans="1:18" ht="20.25" customHeight="1" thickBot="1" x14ac:dyDescent="0.25">
      <c r="A21" s="57" t="s">
        <v>281</v>
      </c>
      <c r="B21" s="173"/>
      <c r="C21" s="149"/>
      <c r="D21" s="249">
        <f>'Sources des données'!C15</f>
        <v>0.32400000000000001</v>
      </c>
      <c r="E21" s="55" t="s">
        <v>269</v>
      </c>
      <c r="F21" s="144"/>
      <c r="G21" s="60">
        <f>IFERROR(H21*12/44,)</f>
        <v>0</v>
      </c>
      <c r="H21" s="166">
        <f>IFERROR(D21*B21/B12,)</f>
        <v>0</v>
      </c>
      <c r="J21" s="404"/>
      <c r="K21" s="405"/>
      <c r="L21" s="405"/>
      <c r="M21" s="405"/>
      <c r="N21" s="405"/>
      <c r="O21" s="406"/>
    </row>
    <row r="22" spans="1:18" ht="24" customHeight="1" thickBot="1" x14ac:dyDescent="0.25">
      <c r="A22" s="413" t="s">
        <v>262</v>
      </c>
      <c r="B22" s="413"/>
      <c r="C22" s="43"/>
      <c r="D22" s="414" t="s">
        <v>231</v>
      </c>
      <c r="E22" s="414"/>
      <c r="F22" s="414"/>
      <c r="G22" s="414"/>
      <c r="H22" s="414"/>
      <c r="J22" s="404"/>
      <c r="K22" s="405"/>
      <c r="L22" s="405"/>
      <c r="M22" s="405"/>
      <c r="N22" s="405"/>
      <c r="O22" s="406"/>
    </row>
    <row r="23" spans="1:18" ht="20.25" customHeight="1" thickBot="1" x14ac:dyDescent="0.25">
      <c r="A23" s="58" t="s">
        <v>347</v>
      </c>
      <c r="B23" s="175"/>
      <c r="C23" s="151"/>
      <c r="D23" s="255">
        <f>'Sources des données'!C19</f>
        <v>2.9499999999999998E-2</v>
      </c>
      <c r="E23" s="55" t="s">
        <v>269</v>
      </c>
      <c r="F23" s="146"/>
      <c r="G23" s="60">
        <f>IFERROR(H23*12/44,)</f>
        <v>0</v>
      </c>
      <c r="H23" s="166">
        <f>IFERROR(D23*B23/B12,)</f>
        <v>0</v>
      </c>
      <c r="J23" s="404"/>
      <c r="K23" s="405"/>
      <c r="L23" s="405"/>
      <c r="M23" s="405"/>
      <c r="N23" s="405"/>
      <c r="O23" s="406"/>
    </row>
    <row r="24" spans="1:18" ht="20.25" customHeight="1" thickBot="1" x14ac:dyDescent="0.25">
      <c r="A24" s="57" t="s">
        <v>348</v>
      </c>
      <c r="B24" s="173"/>
      <c r="C24" s="149"/>
      <c r="D24" s="256">
        <f>'Sources des données'!C18</f>
        <v>3.04E-2</v>
      </c>
      <c r="E24" s="55" t="s">
        <v>269</v>
      </c>
      <c r="F24" s="144"/>
      <c r="G24" s="60">
        <f>IFERROR(H24*12/44,)</f>
        <v>0</v>
      </c>
      <c r="H24" s="166">
        <f>IFERROR(D24*B24/B12,)</f>
        <v>0</v>
      </c>
      <c r="J24" s="407"/>
      <c r="K24" s="408"/>
      <c r="L24" s="408"/>
      <c r="M24" s="408"/>
      <c r="N24" s="408"/>
      <c r="O24" s="409"/>
    </row>
    <row r="25" spans="1:18" s="8" customFormat="1" ht="32.25" customHeight="1" thickBot="1" x14ac:dyDescent="0.25">
      <c r="A25" s="377"/>
      <c r="B25" s="23"/>
      <c r="C25" s="36"/>
      <c r="D25" s="30"/>
      <c r="E25" s="30"/>
      <c r="F25" s="30"/>
      <c r="G25" s="30"/>
      <c r="H25" s="23"/>
    </row>
    <row r="26" spans="1:18" ht="24" customHeight="1" thickBot="1" x14ac:dyDescent="0.25">
      <c r="A26" s="416" t="s">
        <v>155</v>
      </c>
      <c r="B26" s="416"/>
      <c r="C26" s="40"/>
      <c r="D26" s="416"/>
      <c r="E26" s="416"/>
      <c r="F26" s="40"/>
      <c r="G26" s="40"/>
      <c r="H26" s="40"/>
      <c r="J26" s="410" t="s">
        <v>488</v>
      </c>
      <c r="K26" s="411"/>
      <c r="L26" s="411"/>
      <c r="M26" s="411"/>
      <c r="N26" s="411"/>
      <c r="O26" s="411"/>
    </row>
    <row r="27" spans="1:18" ht="24" customHeight="1" thickBot="1" x14ac:dyDescent="0.25">
      <c r="A27" s="416"/>
      <c r="B27" s="416"/>
      <c r="C27" s="40"/>
      <c r="D27" s="416"/>
      <c r="E27" s="416"/>
      <c r="F27" s="40"/>
      <c r="G27" s="40"/>
      <c r="H27" s="40"/>
      <c r="J27" s="411"/>
      <c r="K27" s="411"/>
      <c r="L27" s="411"/>
      <c r="M27" s="411"/>
      <c r="N27" s="411"/>
      <c r="O27" s="411"/>
    </row>
    <row r="28" spans="1:18" ht="24" customHeight="1" thickBot="1" x14ac:dyDescent="0.25">
      <c r="A28" s="415" t="s">
        <v>29</v>
      </c>
      <c r="B28" s="415"/>
      <c r="C28" s="41"/>
      <c r="D28" s="44"/>
      <c r="E28" s="45"/>
      <c r="F28" s="41"/>
      <c r="G28" s="47"/>
      <c r="H28" s="48"/>
      <c r="J28" s="411"/>
      <c r="K28" s="411"/>
      <c r="L28" s="411"/>
      <c r="M28" s="411"/>
      <c r="N28" s="411"/>
      <c r="O28" s="411"/>
    </row>
    <row r="29" spans="1:18" ht="20.25" customHeight="1" thickBot="1" x14ac:dyDescent="0.25">
      <c r="A29" s="53" t="s">
        <v>494</v>
      </c>
      <c r="B29" s="173"/>
      <c r="C29" s="149"/>
      <c r="D29" s="186">
        <v>7000</v>
      </c>
      <c r="E29" s="183" t="s">
        <v>461</v>
      </c>
      <c r="F29" s="378"/>
      <c r="G29" s="184" t="e">
        <f>#REF!*12/44</f>
        <v>#REF!</v>
      </c>
      <c r="H29" s="185">
        <f>IFERROR(B29*D29/B30,)</f>
        <v>0</v>
      </c>
      <c r="J29" s="411"/>
      <c r="K29" s="411"/>
      <c r="L29" s="411"/>
      <c r="M29" s="411"/>
      <c r="N29" s="411"/>
      <c r="O29" s="411"/>
      <c r="R29" s="9"/>
    </row>
    <row r="30" spans="1:18" ht="15.75" thickBot="1" x14ac:dyDescent="0.25">
      <c r="A30" s="234" t="s">
        <v>271</v>
      </c>
      <c r="B30" s="173"/>
      <c r="C30" s="149"/>
      <c r="D30" s="54" t="s">
        <v>250</v>
      </c>
      <c r="E30" s="55"/>
      <c r="F30" s="144"/>
      <c r="G30" s="239"/>
      <c r="H30" s="240"/>
      <c r="J30" s="411"/>
      <c r="K30" s="411"/>
      <c r="L30" s="411"/>
      <c r="M30" s="411"/>
      <c r="N30" s="411"/>
      <c r="O30" s="411"/>
    </row>
    <row r="31" spans="1:18" ht="20.25" customHeight="1" thickBot="1" x14ac:dyDescent="0.25">
      <c r="A31" s="53" t="s">
        <v>147</v>
      </c>
      <c r="B31" s="173"/>
      <c r="C31" s="149"/>
      <c r="D31" s="186">
        <f>'Sources des données'!C23</f>
        <v>2.9</v>
      </c>
      <c r="E31" s="183" t="s">
        <v>328</v>
      </c>
      <c r="F31" s="182"/>
      <c r="G31" s="184">
        <f>H31*12/44</f>
        <v>0</v>
      </c>
      <c r="H31" s="185">
        <f>IF(B32=0,0,D31*(B31/100)*B33/B32)</f>
        <v>0</v>
      </c>
      <c r="J31" s="411"/>
      <c r="K31" s="411"/>
      <c r="L31" s="411"/>
      <c r="M31" s="411"/>
      <c r="N31" s="411"/>
      <c r="O31" s="411"/>
      <c r="R31" s="9"/>
    </row>
    <row r="32" spans="1:18" ht="20.25" customHeight="1" thickBot="1" x14ac:dyDescent="0.3">
      <c r="A32" s="63" t="s">
        <v>149</v>
      </c>
      <c r="B32" s="176"/>
      <c r="C32" s="151"/>
      <c r="D32" s="189"/>
      <c r="E32" s="189"/>
      <c r="F32" s="147"/>
      <c r="G32" s="189"/>
      <c r="H32" s="190"/>
      <c r="J32" s="411"/>
      <c r="K32" s="411"/>
      <c r="L32" s="411"/>
      <c r="M32" s="411"/>
      <c r="N32" s="411"/>
      <c r="O32" s="411"/>
    </row>
    <row r="33" spans="1:15" ht="20.25" customHeight="1" thickBot="1" x14ac:dyDescent="0.3">
      <c r="A33" s="35" t="s">
        <v>150</v>
      </c>
      <c r="B33" s="176"/>
      <c r="C33" s="150"/>
      <c r="D33" s="191"/>
      <c r="E33" s="191"/>
      <c r="F33" s="148"/>
      <c r="G33" s="191"/>
      <c r="H33" s="192"/>
      <c r="J33" s="411"/>
      <c r="K33" s="411"/>
      <c r="L33" s="411"/>
      <c r="M33" s="411"/>
      <c r="N33" s="411"/>
      <c r="O33" s="411"/>
    </row>
    <row r="34" spans="1:15" ht="24" customHeight="1" thickBot="1" x14ac:dyDescent="0.25">
      <c r="A34" s="415" t="s">
        <v>288</v>
      </c>
      <c r="B34" s="415"/>
      <c r="C34" s="226"/>
      <c r="D34" s="49"/>
      <c r="E34" s="45"/>
      <c r="F34" s="46"/>
      <c r="G34" s="50"/>
      <c r="H34" s="168"/>
      <c r="J34" s="411"/>
      <c r="K34" s="411"/>
      <c r="L34" s="411"/>
      <c r="M34" s="411"/>
      <c r="N34" s="411"/>
      <c r="O34" s="411"/>
    </row>
    <row r="35" spans="1:15" ht="30.75" thickBot="1" x14ac:dyDescent="0.25">
      <c r="A35" s="53" t="s">
        <v>487</v>
      </c>
      <c r="B35" s="173"/>
      <c r="C35" s="149"/>
      <c r="D35" s="253">
        <f>'Sources des données'!C24</f>
        <v>1.9800000000000002E-2</v>
      </c>
      <c r="E35" s="183" t="s">
        <v>289</v>
      </c>
      <c r="F35" s="46"/>
      <c r="G35" s="187">
        <f>H35*12/44</f>
        <v>0</v>
      </c>
      <c r="H35" s="188">
        <f>IF(B36=0,B35*D35,B35*D35/B36)</f>
        <v>0</v>
      </c>
      <c r="J35" s="411"/>
      <c r="K35" s="411"/>
      <c r="L35" s="411"/>
      <c r="M35" s="411"/>
      <c r="N35" s="411"/>
      <c r="O35" s="411"/>
    </row>
    <row r="36" spans="1:15" ht="20.25" customHeight="1" thickBot="1" x14ac:dyDescent="0.3">
      <c r="A36" s="63" t="s">
        <v>149</v>
      </c>
      <c r="B36" s="176"/>
      <c r="C36" s="151"/>
      <c r="D36" s="189"/>
      <c r="E36" s="189"/>
      <c r="F36" s="147"/>
      <c r="G36" s="189"/>
      <c r="H36" s="190"/>
      <c r="J36" s="411"/>
      <c r="K36" s="411"/>
      <c r="L36" s="411"/>
      <c r="M36" s="411"/>
      <c r="N36" s="411"/>
      <c r="O36" s="411"/>
    </row>
    <row r="37" spans="1:15" ht="45.75" thickBot="1" x14ac:dyDescent="0.25">
      <c r="A37" s="366" t="s">
        <v>472</v>
      </c>
      <c r="B37" s="176"/>
      <c r="C37" s="150"/>
      <c r="D37" s="186">
        <f>'Sources des données'!C22</f>
        <v>12000</v>
      </c>
      <c r="E37" s="183" t="s">
        <v>461</v>
      </c>
      <c r="F37" s="353"/>
      <c r="G37" s="184">
        <f>H37*12/44</f>
        <v>0</v>
      </c>
      <c r="H37" s="185">
        <f>IFERROR(D37/B37,)</f>
        <v>0</v>
      </c>
      <c r="J37" s="411"/>
      <c r="K37" s="411"/>
      <c r="L37" s="411"/>
      <c r="M37" s="411"/>
      <c r="N37" s="411"/>
      <c r="O37" s="411"/>
    </row>
    <row r="38" spans="1:15" ht="24" customHeight="1" thickBot="1" x14ac:dyDescent="0.25">
      <c r="A38" s="415" t="s">
        <v>331</v>
      </c>
      <c r="B38" s="415"/>
      <c r="C38" s="41"/>
      <c r="D38" s="49"/>
      <c r="E38" s="45"/>
      <c r="F38" s="46"/>
      <c r="G38" s="50"/>
      <c r="H38" s="168"/>
      <c r="J38" s="411"/>
      <c r="K38" s="411"/>
      <c r="L38" s="411"/>
      <c r="M38" s="411"/>
      <c r="N38" s="411"/>
      <c r="O38" s="411"/>
    </row>
    <row r="39" spans="1:15" ht="20.25" customHeight="1" thickBot="1" x14ac:dyDescent="0.25">
      <c r="A39" s="53" t="s">
        <v>147</v>
      </c>
      <c r="B39" s="173"/>
      <c r="C39" s="149"/>
      <c r="D39" s="186">
        <f>'Sources des données'!C25</f>
        <v>2.5066666666666668</v>
      </c>
      <c r="E39" s="183" t="s">
        <v>330</v>
      </c>
      <c r="F39" s="46"/>
      <c r="G39" s="187">
        <f>H39*12/44</f>
        <v>0</v>
      </c>
      <c r="H39" s="188">
        <f>IF(B40=0,0,D39*(B39/100)*B41/B40)</f>
        <v>0</v>
      </c>
      <c r="J39" s="411"/>
      <c r="K39" s="411"/>
      <c r="L39" s="411"/>
      <c r="M39" s="411"/>
      <c r="N39" s="411"/>
      <c r="O39" s="411"/>
    </row>
    <row r="40" spans="1:15" ht="20.25" customHeight="1" thickBot="1" x14ac:dyDescent="0.3">
      <c r="A40" s="63" t="s">
        <v>149</v>
      </c>
      <c r="B40" s="176"/>
      <c r="C40" s="151"/>
      <c r="D40" s="189"/>
      <c r="E40" s="189"/>
      <c r="F40" s="147"/>
      <c r="G40" s="189"/>
      <c r="H40" s="190"/>
      <c r="J40" s="411"/>
      <c r="K40" s="411"/>
      <c r="L40" s="411"/>
      <c r="M40" s="411"/>
      <c r="N40" s="411"/>
      <c r="O40" s="411"/>
    </row>
    <row r="41" spans="1:15" ht="20.25" customHeight="1" thickBot="1" x14ac:dyDescent="0.3">
      <c r="A41" s="35" t="s">
        <v>150</v>
      </c>
      <c r="B41" s="176"/>
      <c r="C41" s="150"/>
      <c r="D41" s="191"/>
      <c r="E41" s="191"/>
      <c r="F41" s="148"/>
      <c r="G41" s="191"/>
      <c r="H41" s="192"/>
      <c r="J41" s="411"/>
      <c r="K41" s="411"/>
      <c r="L41" s="411"/>
      <c r="M41" s="411"/>
      <c r="N41" s="411"/>
      <c r="O41" s="411"/>
    </row>
    <row r="42" spans="1:15" ht="45.75" thickBot="1" x14ac:dyDescent="0.25">
      <c r="A42" s="366" t="s">
        <v>472</v>
      </c>
      <c r="B42" s="176"/>
      <c r="C42" s="150"/>
      <c r="D42" s="186">
        <f>'Sources des données'!C22</f>
        <v>12000</v>
      </c>
      <c r="E42" s="183" t="s">
        <v>461</v>
      </c>
      <c r="F42" s="353"/>
      <c r="G42" s="184">
        <f>H42*12/44</f>
        <v>0</v>
      </c>
      <c r="H42" s="185">
        <f>IFERROR(D42/B42,)</f>
        <v>0</v>
      </c>
      <c r="J42" s="411"/>
      <c r="K42" s="411"/>
      <c r="L42" s="411"/>
      <c r="M42" s="411"/>
      <c r="N42" s="411"/>
      <c r="O42" s="411"/>
    </row>
    <row r="43" spans="1:15" ht="24" customHeight="1" thickBot="1" x14ac:dyDescent="0.25">
      <c r="A43" s="415" t="s">
        <v>72</v>
      </c>
      <c r="B43" s="415"/>
      <c r="C43" s="41"/>
      <c r="D43" s="44"/>
      <c r="E43" s="45"/>
      <c r="F43" s="46"/>
      <c r="G43" s="47"/>
      <c r="H43" s="168"/>
      <c r="J43" s="411"/>
      <c r="K43" s="411"/>
      <c r="L43" s="411"/>
      <c r="M43" s="411"/>
      <c r="N43" s="411"/>
      <c r="O43" s="411"/>
    </row>
    <row r="44" spans="1:15" ht="20.25" customHeight="1" thickBot="1" x14ac:dyDescent="0.25">
      <c r="A44" s="371" t="s">
        <v>147</v>
      </c>
      <c r="B44" s="372"/>
      <c r="C44" s="149"/>
      <c r="D44" s="253">
        <f>'Sources des données'!C26</f>
        <v>0.20399999999999999</v>
      </c>
      <c r="E44" s="183" t="s">
        <v>333</v>
      </c>
      <c r="F44" s="46"/>
      <c r="G44" s="184">
        <f>H44*12/44</f>
        <v>0</v>
      </c>
      <c r="H44" s="185">
        <f>D44*B44</f>
        <v>0</v>
      </c>
      <c r="J44" s="411"/>
      <c r="K44" s="411"/>
      <c r="L44" s="411"/>
      <c r="M44" s="411"/>
      <c r="N44" s="411"/>
      <c r="O44" s="411"/>
    </row>
    <row r="45" spans="1:15" ht="45.75" thickBot="1" x14ac:dyDescent="0.25">
      <c r="A45" s="366" t="s">
        <v>472</v>
      </c>
      <c r="B45" s="373"/>
      <c r="C45" s="150"/>
      <c r="D45" s="186">
        <f>'Sources des données'!C27</f>
        <v>3670.0000000000005</v>
      </c>
      <c r="E45" s="183" t="s">
        <v>461</v>
      </c>
      <c r="F45" s="353"/>
      <c r="G45" s="184">
        <f>H45*12/44</f>
        <v>0</v>
      </c>
      <c r="H45" s="185">
        <f>IFERROR(D45/B45,)</f>
        <v>0</v>
      </c>
      <c r="J45" s="411"/>
      <c r="K45" s="411"/>
      <c r="L45" s="411"/>
      <c r="M45" s="411"/>
      <c r="N45" s="411"/>
      <c r="O45" s="411"/>
    </row>
    <row r="46" spans="1:15" ht="24" customHeight="1" thickBot="1" x14ac:dyDescent="0.25">
      <c r="A46" s="415" t="s">
        <v>18</v>
      </c>
      <c r="B46" s="415"/>
      <c r="C46" s="153"/>
      <c r="D46" s="42"/>
      <c r="E46" s="42"/>
      <c r="F46" s="42"/>
      <c r="G46" s="42"/>
      <c r="H46" s="169"/>
      <c r="J46" s="411"/>
      <c r="K46" s="411"/>
      <c r="L46" s="411"/>
      <c r="M46" s="411"/>
      <c r="N46" s="411"/>
      <c r="O46" s="411"/>
    </row>
    <row r="47" spans="1:15" ht="20.25" customHeight="1" thickBot="1" x14ac:dyDescent="0.25">
      <c r="A47" s="35" t="s">
        <v>151</v>
      </c>
      <c r="B47" s="177"/>
      <c r="C47" s="150"/>
      <c r="D47" s="11">
        <f>'Sources des données'!C28</f>
        <v>188.25</v>
      </c>
      <c r="E47" s="12" t="s">
        <v>286</v>
      </c>
      <c r="F47" s="152"/>
      <c r="G47" s="15">
        <f>H47*12/44</f>
        <v>0</v>
      </c>
      <c r="H47" s="167">
        <f>D47*B47</f>
        <v>0</v>
      </c>
      <c r="J47" s="411"/>
      <c r="K47" s="411"/>
      <c r="L47" s="411"/>
      <c r="M47" s="411"/>
      <c r="N47" s="411"/>
      <c r="O47" s="411"/>
    </row>
    <row r="48" spans="1:15" ht="24" customHeight="1" thickBot="1" x14ac:dyDescent="0.25">
      <c r="A48" s="415" t="s">
        <v>3</v>
      </c>
      <c r="B48" s="415"/>
      <c r="C48" s="153"/>
      <c r="D48" s="415"/>
      <c r="E48" s="415"/>
      <c r="F48" s="41"/>
      <c r="G48" s="413"/>
      <c r="H48" s="424"/>
      <c r="J48" s="411"/>
      <c r="K48" s="411"/>
      <c r="L48" s="411"/>
      <c r="M48" s="411"/>
      <c r="N48" s="411"/>
      <c r="O48" s="411"/>
    </row>
    <row r="49" spans="1:15" ht="20.25" customHeight="1" thickBot="1" x14ac:dyDescent="0.25">
      <c r="A49" s="35" t="s">
        <v>147</v>
      </c>
      <c r="B49" s="178">
        <v>12000</v>
      </c>
      <c r="C49" s="150"/>
      <c r="D49" s="277">
        <f>'Sources des données'!C30</f>
        <v>5.5999999999999999E-3</v>
      </c>
      <c r="E49" s="12" t="s">
        <v>289</v>
      </c>
      <c r="F49" s="152"/>
      <c r="G49" s="15">
        <f>H49*12/44</f>
        <v>18.327272727272728</v>
      </c>
      <c r="H49" s="167">
        <f>D49*B49</f>
        <v>67.2</v>
      </c>
      <c r="J49" s="411"/>
      <c r="K49" s="411"/>
      <c r="L49" s="411"/>
      <c r="M49" s="411"/>
      <c r="N49" s="411"/>
      <c r="O49" s="411"/>
    </row>
    <row r="50" spans="1:15" ht="24" customHeight="1" thickBot="1" x14ac:dyDescent="0.25">
      <c r="A50" s="415" t="s">
        <v>4</v>
      </c>
      <c r="B50" s="415"/>
      <c r="C50" s="153"/>
      <c r="D50" s="415"/>
      <c r="E50" s="415"/>
      <c r="F50" s="41"/>
      <c r="G50" s="413"/>
      <c r="H50" s="424"/>
      <c r="J50" s="411"/>
      <c r="K50" s="411"/>
      <c r="L50" s="411"/>
      <c r="M50" s="411"/>
      <c r="N50" s="411"/>
      <c r="O50" s="411"/>
    </row>
    <row r="51" spans="1:15" ht="20.25" customHeight="1" thickBot="1" x14ac:dyDescent="0.25">
      <c r="A51" s="53" t="s">
        <v>152</v>
      </c>
      <c r="B51" s="173"/>
      <c r="C51" s="149"/>
      <c r="D51" s="170">
        <f>'Sources des données'!C32</f>
        <v>1.992</v>
      </c>
      <c r="E51" s="55" t="s">
        <v>336</v>
      </c>
      <c r="F51" s="144"/>
      <c r="G51" s="56">
        <f>H51*12/44</f>
        <v>0</v>
      </c>
      <c r="H51" s="165">
        <f>D51*B51*52</f>
        <v>0</v>
      </c>
      <c r="J51" s="411"/>
      <c r="K51" s="411"/>
      <c r="L51" s="411"/>
      <c r="M51" s="411"/>
      <c r="N51" s="411"/>
      <c r="O51" s="411"/>
    </row>
    <row r="52" spans="1:15" ht="20.25" customHeight="1" thickBot="1" x14ac:dyDescent="0.25">
      <c r="A52" s="63" t="s">
        <v>153</v>
      </c>
      <c r="B52" s="175"/>
      <c r="C52" s="151"/>
      <c r="D52" s="170">
        <f>'Sources des données'!C34</f>
        <v>0.16574999999999998</v>
      </c>
      <c r="E52" s="55" t="s">
        <v>336</v>
      </c>
      <c r="F52" s="146"/>
      <c r="G52" s="56">
        <f>H52*12/44</f>
        <v>0</v>
      </c>
      <c r="H52" s="165">
        <f>D52*B52*52</f>
        <v>0</v>
      </c>
      <c r="J52" s="411"/>
      <c r="K52" s="411"/>
      <c r="L52" s="411"/>
      <c r="M52" s="411"/>
      <c r="N52" s="411"/>
      <c r="O52" s="411"/>
    </row>
    <row r="53" spans="1:15" s="8" customFormat="1" ht="32.25" customHeight="1" thickBot="1" x14ac:dyDescent="0.25">
      <c r="A53" s="39"/>
      <c r="B53" s="30"/>
      <c r="C53" s="36"/>
      <c r="D53" s="36"/>
      <c r="E53" s="36"/>
      <c r="F53" s="36"/>
      <c r="G53" s="36"/>
      <c r="H53" s="23"/>
    </row>
    <row r="54" spans="1:15" ht="24" customHeight="1" x14ac:dyDescent="0.2">
      <c r="A54" s="416" t="s">
        <v>306</v>
      </c>
      <c r="B54" s="416"/>
      <c r="C54" s="227"/>
      <c r="D54" s="227"/>
      <c r="E54" s="227"/>
      <c r="F54" s="227"/>
      <c r="G54" s="227"/>
      <c r="H54" s="227"/>
      <c r="J54" s="425" t="s">
        <v>300</v>
      </c>
      <c r="K54" s="426"/>
      <c r="L54" s="426"/>
      <c r="M54" s="426"/>
      <c r="N54" s="426"/>
      <c r="O54" s="427"/>
    </row>
    <row r="55" spans="1:15" ht="24" customHeight="1" x14ac:dyDescent="0.2">
      <c r="A55" s="416"/>
      <c r="B55" s="416"/>
      <c r="C55" s="227"/>
      <c r="D55" s="227"/>
      <c r="E55" s="227"/>
      <c r="F55" s="227"/>
      <c r="G55" s="227"/>
      <c r="H55" s="227"/>
      <c r="J55" s="428"/>
      <c r="K55" s="429"/>
      <c r="L55" s="429"/>
      <c r="M55" s="429"/>
      <c r="N55" s="429"/>
      <c r="O55" s="430"/>
    </row>
    <row r="56" spans="1:15" s="10" customFormat="1" ht="24" customHeight="1" thickBot="1" x14ac:dyDescent="0.25">
      <c r="A56" s="415" t="s">
        <v>467</v>
      </c>
      <c r="B56" s="415"/>
      <c r="C56" s="226"/>
      <c r="D56" s="226"/>
      <c r="E56" s="226"/>
      <c r="F56" s="226"/>
      <c r="G56" s="226"/>
      <c r="H56" s="226"/>
      <c r="J56" s="428"/>
      <c r="K56" s="429"/>
      <c r="L56" s="429"/>
      <c r="M56" s="429"/>
      <c r="N56" s="429"/>
      <c r="O56" s="430"/>
    </row>
    <row r="57" spans="1:15" ht="20.25" customHeight="1" thickBot="1" x14ac:dyDescent="0.25">
      <c r="A57" s="58" t="s">
        <v>293</v>
      </c>
      <c r="B57" s="176"/>
      <c r="C57" s="151"/>
      <c r="D57" s="65">
        <f>'Sources des données'!C61</f>
        <v>0.51</v>
      </c>
      <c r="E57" s="59" t="s">
        <v>298</v>
      </c>
      <c r="F57" s="146"/>
      <c r="G57" s="60">
        <f>H57*12/44</f>
        <v>0</v>
      </c>
      <c r="H57" s="64">
        <f>D57*B57*52</f>
        <v>0</v>
      </c>
      <c r="I57" s="13"/>
      <c r="J57" s="428"/>
      <c r="K57" s="429"/>
      <c r="L57" s="429"/>
      <c r="M57" s="429"/>
      <c r="N57" s="429"/>
      <c r="O57" s="430"/>
    </row>
    <row r="58" spans="1:15" ht="15.75" thickBot="1" x14ac:dyDescent="0.25">
      <c r="A58" s="63" t="s">
        <v>294</v>
      </c>
      <c r="B58" s="176"/>
      <c r="C58" s="151"/>
      <c r="D58" s="65">
        <f>'Sources des données'!C62</f>
        <v>6.29</v>
      </c>
      <c r="E58" s="59" t="s">
        <v>298</v>
      </c>
      <c r="F58" s="146"/>
      <c r="G58" s="60">
        <f t="shared" ref="G58:G59" si="0">H58*12/44</f>
        <v>0</v>
      </c>
      <c r="H58" s="64">
        <f t="shared" ref="H58:H59" si="1">D58*B58*52</f>
        <v>0</v>
      </c>
      <c r="J58" s="428"/>
      <c r="K58" s="429"/>
      <c r="L58" s="429"/>
      <c r="M58" s="429"/>
      <c r="N58" s="429"/>
      <c r="O58" s="430"/>
    </row>
    <row r="59" spans="1:15" ht="15.75" thickBot="1" x14ac:dyDescent="0.25">
      <c r="A59" s="58" t="s">
        <v>295</v>
      </c>
      <c r="B59" s="176"/>
      <c r="C59" s="151"/>
      <c r="D59" s="65">
        <f>'Sources des données'!C63</f>
        <v>1.35</v>
      </c>
      <c r="E59" s="59" t="s">
        <v>298</v>
      </c>
      <c r="F59" s="146"/>
      <c r="G59" s="60">
        <f t="shared" si="0"/>
        <v>0</v>
      </c>
      <c r="H59" s="64">
        <f t="shared" si="1"/>
        <v>0</v>
      </c>
      <c r="J59" s="428"/>
      <c r="K59" s="429"/>
      <c r="L59" s="429"/>
      <c r="M59" s="429"/>
      <c r="N59" s="429"/>
      <c r="O59" s="430"/>
    </row>
    <row r="60" spans="1:15" s="10" customFormat="1" ht="24" customHeight="1" thickBot="1" x14ac:dyDescent="0.25">
      <c r="A60" s="415" t="s">
        <v>381</v>
      </c>
      <c r="B60" s="415"/>
      <c r="C60" s="226"/>
      <c r="D60" s="421"/>
      <c r="E60" s="421"/>
      <c r="F60" s="226"/>
      <c r="G60" s="421"/>
      <c r="H60" s="421"/>
      <c r="J60" s="428"/>
      <c r="K60" s="429"/>
      <c r="L60" s="429"/>
      <c r="M60" s="429"/>
      <c r="N60" s="429"/>
      <c r="O60" s="430"/>
    </row>
    <row r="61" spans="1:15" ht="20.25" customHeight="1" thickBot="1" x14ac:dyDescent="0.25">
      <c r="A61" s="53" t="s">
        <v>137</v>
      </c>
      <c r="B61" s="179"/>
      <c r="C61" s="149"/>
      <c r="D61" s="67">
        <f>'Sources des données'!C56</f>
        <v>2</v>
      </c>
      <c r="E61" s="59" t="s">
        <v>330</v>
      </c>
      <c r="F61" s="144"/>
      <c r="G61" s="56">
        <f>H61*12/44</f>
        <v>0</v>
      </c>
      <c r="H61" s="165">
        <f>D61*B61*52</f>
        <v>0</v>
      </c>
      <c r="J61" s="428"/>
      <c r="K61" s="429"/>
      <c r="L61" s="429"/>
      <c r="M61" s="429"/>
      <c r="N61" s="429"/>
      <c r="O61" s="430"/>
    </row>
    <row r="62" spans="1:15" ht="20.25" customHeight="1" thickBot="1" x14ac:dyDescent="0.25">
      <c r="A62" s="35" t="s">
        <v>35</v>
      </c>
      <c r="B62" s="177"/>
      <c r="C62" s="150"/>
      <c r="D62" s="14">
        <f>'Sources des données'!C57</f>
        <v>1.0900000000000001</v>
      </c>
      <c r="E62" s="59" t="s">
        <v>330</v>
      </c>
      <c r="F62" s="152"/>
      <c r="G62" s="56">
        <f>H62*12/44</f>
        <v>0</v>
      </c>
      <c r="H62" s="165">
        <f>D62*B62*52</f>
        <v>0</v>
      </c>
      <c r="J62" s="428"/>
      <c r="K62" s="429"/>
      <c r="L62" s="429"/>
      <c r="M62" s="429"/>
      <c r="N62" s="429"/>
      <c r="O62" s="430"/>
    </row>
    <row r="63" spans="1:15" s="10" customFormat="1" ht="24" customHeight="1" x14ac:dyDescent="0.2">
      <c r="A63" s="415" t="s">
        <v>37</v>
      </c>
      <c r="B63" s="415"/>
      <c r="C63" s="226"/>
      <c r="D63" s="415"/>
      <c r="E63" s="415"/>
      <c r="F63" s="226"/>
      <c r="G63" s="415"/>
      <c r="H63" s="415"/>
      <c r="J63" s="428"/>
      <c r="K63" s="429"/>
      <c r="L63" s="429"/>
      <c r="M63" s="429"/>
      <c r="N63" s="429"/>
      <c r="O63" s="430"/>
    </row>
    <row r="64" spans="1:15" ht="20.25" customHeight="1" thickBot="1" x14ac:dyDescent="0.25">
      <c r="A64" s="228" t="s">
        <v>36</v>
      </c>
      <c r="B64" s="160" t="b">
        <v>0</v>
      </c>
      <c r="C64" s="150"/>
      <c r="D64" s="11">
        <f>'Sources des données'!C58</f>
        <v>430.33500000000004</v>
      </c>
      <c r="E64" s="157" t="s">
        <v>346</v>
      </c>
      <c r="F64" s="152"/>
      <c r="G64" s="158">
        <f>H64*12/44</f>
        <v>0</v>
      </c>
      <c r="H64" s="164">
        <f>IF(B64,D64,0)</f>
        <v>0</v>
      </c>
      <c r="J64" s="428"/>
      <c r="K64" s="429"/>
      <c r="L64" s="429"/>
      <c r="M64" s="429"/>
      <c r="N64" s="429"/>
      <c r="O64" s="430"/>
    </row>
    <row r="65" spans="1:15" s="10" customFormat="1" ht="24" customHeight="1" thickBot="1" x14ac:dyDescent="0.25">
      <c r="A65" s="415" t="s">
        <v>297</v>
      </c>
      <c r="B65" s="415"/>
      <c r="C65" s="226"/>
      <c r="D65" s="415"/>
      <c r="E65" s="415"/>
      <c r="F65" s="226"/>
      <c r="G65" s="415"/>
      <c r="H65" s="415"/>
      <c r="J65" s="428"/>
      <c r="K65" s="429"/>
      <c r="L65" s="429"/>
      <c r="M65" s="429"/>
      <c r="N65" s="429"/>
      <c r="O65" s="430"/>
    </row>
    <row r="66" spans="1:15" ht="20.25" customHeight="1" thickBot="1" x14ac:dyDescent="0.25">
      <c r="A66" s="228" t="s">
        <v>36</v>
      </c>
      <c r="B66" s="160" t="b">
        <v>0</v>
      </c>
      <c r="C66" s="149"/>
      <c r="D66" s="67">
        <f>'Sources des données'!C59</f>
        <v>200</v>
      </c>
      <c r="E66" s="59" t="s">
        <v>346</v>
      </c>
      <c r="F66" s="144"/>
      <c r="G66" s="56">
        <f>H66*12/44</f>
        <v>54.545454545454547</v>
      </c>
      <c r="H66" s="165">
        <f>IF(B66,D66/3,D66)</f>
        <v>200</v>
      </c>
      <c r="J66" s="431"/>
      <c r="K66" s="432"/>
      <c r="L66" s="432"/>
      <c r="M66" s="432"/>
      <c r="N66" s="432"/>
      <c r="O66" s="433"/>
    </row>
    <row r="67" spans="1:15" customFormat="1" ht="20.25" customHeight="1" thickBot="1" x14ac:dyDescent="0.25"/>
    <row r="68" spans="1:15" ht="24" customHeight="1" thickBot="1" x14ac:dyDescent="0.25">
      <c r="A68" s="422" t="s">
        <v>291</v>
      </c>
      <c r="B68" s="422"/>
      <c r="C68" s="40"/>
      <c r="D68" s="40"/>
      <c r="E68" s="40"/>
      <c r="F68" s="40"/>
      <c r="G68" s="40"/>
      <c r="H68" s="40"/>
      <c r="J68" s="410" t="s">
        <v>196</v>
      </c>
      <c r="K68" s="411"/>
      <c r="L68" s="411"/>
      <c r="M68" s="411"/>
      <c r="N68" s="411"/>
      <c r="O68" s="411"/>
    </row>
    <row r="69" spans="1:15" s="10" customFormat="1" ht="24" customHeight="1" thickBot="1" x14ac:dyDescent="0.25">
      <c r="A69" s="254" t="s">
        <v>305</v>
      </c>
      <c r="B69" s="160" t="b">
        <v>0</v>
      </c>
      <c r="C69" s="226"/>
      <c r="D69" s="412" t="s">
        <v>382</v>
      </c>
      <c r="E69" s="412"/>
      <c r="F69" s="412"/>
      <c r="G69" s="412"/>
      <c r="H69" s="412"/>
      <c r="J69" s="410"/>
      <c r="K69" s="411"/>
      <c r="L69" s="411"/>
      <c r="M69" s="411"/>
      <c r="N69" s="411"/>
      <c r="O69" s="411"/>
    </row>
    <row r="70" spans="1:15" s="10" customFormat="1" ht="24" customHeight="1" thickBot="1" x14ac:dyDescent="0.25">
      <c r="A70" s="415" t="s">
        <v>32</v>
      </c>
      <c r="B70" s="415"/>
      <c r="C70" s="41"/>
      <c r="D70" s="41"/>
      <c r="E70" s="41"/>
      <c r="F70" s="41"/>
      <c r="G70" s="41"/>
      <c r="H70" s="41"/>
      <c r="J70" s="411"/>
      <c r="K70" s="411"/>
      <c r="L70" s="411"/>
      <c r="M70" s="411"/>
      <c r="N70" s="411"/>
      <c r="O70" s="411"/>
    </row>
    <row r="71" spans="1:15" ht="20.25" customHeight="1" thickBot="1" x14ac:dyDescent="0.25">
      <c r="A71" s="58" t="s">
        <v>129</v>
      </c>
      <c r="B71" s="176"/>
      <c r="C71" s="151"/>
      <c r="D71" s="65">
        <f>VLOOKUP(A71,'Sources des données'!$A$8:$F$98,3,FALSE)</f>
        <v>28.6</v>
      </c>
      <c r="E71" s="278" t="str">
        <f>VLOOKUP(A71,'Sources des données'!$A$8:$F$98,4,FALSE)</f>
        <v>kgCO2e/kg</v>
      </c>
      <c r="F71" s="146"/>
      <c r="G71" s="60">
        <f>H71*12/44</f>
        <v>0</v>
      </c>
      <c r="H71" s="64">
        <f>D71*B71*52</f>
        <v>0</v>
      </c>
      <c r="I71" s="13"/>
      <c r="J71" s="411"/>
      <c r="K71" s="411"/>
      <c r="L71" s="411"/>
      <c r="M71" s="411"/>
      <c r="N71" s="411"/>
      <c r="O71" s="411"/>
    </row>
    <row r="72" spans="1:15" ht="20.25" customHeight="1" thickBot="1" x14ac:dyDescent="0.25">
      <c r="A72" s="63" t="s">
        <v>9</v>
      </c>
      <c r="B72" s="176"/>
      <c r="C72" s="151"/>
      <c r="D72" s="65">
        <f>VLOOKUP(A72,'Sources des données'!$A$8:$F$98,3,FALSE)</f>
        <v>5.89</v>
      </c>
      <c r="E72" s="278" t="str">
        <f>VLOOKUP(A72,'Sources des données'!$A$8:$F$98,4,FALSE)</f>
        <v>kgCO2e/kg</v>
      </c>
      <c r="F72" s="146"/>
      <c r="G72" s="60">
        <f t="shared" ref="G72:G74" si="2">H72*12/44</f>
        <v>0</v>
      </c>
      <c r="H72" s="64">
        <f t="shared" ref="H72:H74" si="3">D72*B72*52</f>
        <v>0</v>
      </c>
      <c r="J72" s="411"/>
      <c r="K72" s="411"/>
      <c r="L72" s="411"/>
      <c r="M72" s="411"/>
      <c r="N72" s="411"/>
      <c r="O72" s="411"/>
    </row>
    <row r="73" spans="1:15" ht="20.25" customHeight="1" thickBot="1" x14ac:dyDescent="0.25">
      <c r="A73" s="58" t="s">
        <v>51</v>
      </c>
      <c r="B73" s="176"/>
      <c r="C73" s="151"/>
      <c r="D73" s="65">
        <f>VLOOKUP(A73,'Sources des données'!$A$8:$F$98,3,FALSE)</f>
        <v>4.75</v>
      </c>
      <c r="E73" s="278" t="str">
        <f>VLOOKUP(A73,'Sources des données'!$A$8:$F$98,4,FALSE)</f>
        <v>kgCO2e/kg</v>
      </c>
      <c r="F73" s="146"/>
      <c r="G73" s="60">
        <f t="shared" si="2"/>
        <v>0</v>
      </c>
      <c r="H73" s="64">
        <f t="shared" si="3"/>
        <v>0</v>
      </c>
      <c r="J73" s="411"/>
      <c r="K73" s="411"/>
      <c r="L73" s="411"/>
      <c r="M73" s="411"/>
      <c r="N73" s="411"/>
      <c r="O73" s="411"/>
    </row>
    <row r="74" spans="1:15" ht="20.25" customHeight="1" thickBot="1" x14ac:dyDescent="0.25">
      <c r="A74" s="63" t="s">
        <v>10</v>
      </c>
      <c r="B74" s="176"/>
      <c r="C74" s="151"/>
      <c r="D74" s="65">
        <f>VLOOKUP(A74,'Sources des données'!$A$8:$F$98,3,FALSE)</f>
        <v>9.59</v>
      </c>
      <c r="E74" s="278" t="str">
        <f>VLOOKUP(A74,'Sources des données'!$A$8:$F$98,4,FALSE)</f>
        <v>kgCO2e/kg</v>
      </c>
      <c r="F74" s="146"/>
      <c r="G74" s="60">
        <f t="shared" si="2"/>
        <v>0</v>
      </c>
      <c r="H74" s="64">
        <f t="shared" si="3"/>
        <v>0</v>
      </c>
      <c r="J74" s="411"/>
      <c r="K74" s="411"/>
      <c r="L74" s="411"/>
      <c r="M74" s="411"/>
      <c r="N74" s="411"/>
      <c r="O74" s="411"/>
    </row>
    <row r="75" spans="1:15" s="10" customFormat="1" ht="24" customHeight="1" thickBot="1" x14ac:dyDescent="0.25">
      <c r="A75" s="415" t="s">
        <v>357</v>
      </c>
      <c r="B75" s="415"/>
      <c r="C75" s="41"/>
      <c r="D75" s="415"/>
      <c r="E75" s="415"/>
      <c r="F75" s="41"/>
      <c r="G75" s="413"/>
      <c r="H75" s="424"/>
      <c r="J75" s="411"/>
      <c r="K75" s="411"/>
      <c r="L75" s="411"/>
      <c r="M75" s="411"/>
      <c r="N75" s="411"/>
      <c r="O75" s="411"/>
    </row>
    <row r="76" spans="1:15" ht="20.25" customHeight="1" thickBot="1" x14ac:dyDescent="0.25">
      <c r="A76" s="58" t="s">
        <v>91</v>
      </c>
      <c r="B76" s="176"/>
      <c r="C76" s="151"/>
      <c r="D76" s="65">
        <f>VLOOKUP(A76,'Sources des données'!$A$8:$F$98,3,FALSE)</f>
        <v>5</v>
      </c>
      <c r="E76" s="278" t="str">
        <f>VLOOKUP(A76,'Sources des données'!$A$8:$F$98,4,FALSE)</f>
        <v xml:space="preserve">kgCO2e/kg </v>
      </c>
      <c r="F76" s="146"/>
      <c r="G76" s="60">
        <f>H76*12/44</f>
        <v>0</v>
      </c>
      <c r="H76" s="166">
        <f>D76*B76*52</f>
        <v>0</v>
      </c>
      <c r="J76" s="411"/>
      <c r="K76" s="411"/>
      <c r="L76" s="411"/>
      <c r="M76" s="411"/>
      <c r="N76" s="411"/>
      <c r="O76" s="411"/>
    </row>
    <row r="77" spans="1:15" ht="20.25" customHeight="1" thickBot="1" x14ac:dyDescent="0.25">
      <c r="A77" s="134" t="s">
        <v>359</v>
      </c>
      <c r="B77" s="179"/>
      <c r="C77" s="149"/>
      <c r="D77" s="65" t="e">
        <f>VLOOKUP(A77,'Sources des données'!$A$8:$F$98,3,FALSE)</f>
        <v>#N/A</v>
      </c>
      <c r="E77" s="278" t="e">
        <f>VLOOKUP(A77,'Sources des données'!$A$8:$F$98,4,FALSE)</f>
        <v>#N/A</v>
      </c>
      <c r="F77" s="144"/>
      <c r="G77" s="60" t="e">
        <f t="shared" ref="G77:G78" si="4">H77*12/44</f>
        <v>#N/A</v>
      </c>
      <c r="H77" s="166" t="e">
        <f t="shared" ref="H77:H78" si="5">D77*B77*52</f>
        <v>#N/A</v>
      </c>
      <c r="J77" s="411"/>
      <c r="K77" s="411"/>
      <c r="L77" s="411"/>
      <c r="M77" s="411"/>
      <c r="N77" s="411"/>
      <c r="O77" s="411"/>
    </row>
    <row r="78" spans="1:15" ht="20.25" customHeight="1" thickBot="1" x14ac:dyDescent="0.25">
      <c r="A78" s="35" t="s">
        <v>13</v>
      </c>
      <c r="B78" s="177"/>
      <c r="C78" s="150"/>
      <c r="D78" s="65">
        <f>VLOOKUP(A78,'Sources des données'!$A$8:$F$98,3,FALSE)</f>
        <v>1.22</v>
      </c>
      <c r="E78" s="278" t="str">
        <f>VLOOKUP(A78,'Sources des données'!$A$8:$F$98,4,FALSE)</f>
        <v>kgCO2e/litre</v>
      </c>
      <c r="F78" s="152"/>
      <c r="G78" s="60">
        <f t="shared" si="4"/>
        <v>0</v>
      </c>
      <c r="H78" s="166">
        <f t="shared" si="5"/>
        <v>0</v>
      </c>
      <c r="J78" s="411"/>
      <c r="K78" s="411"/>
      <c r="L78" s="411"/>
      <c r="M78" s="411"/>
      <c r="N78" s="411"/>
      <c r="O78" s="411"/>
    </row>
    <row r="79" spans="1:15" s="10" customFormat="1" ht="24" customHeight="1" thickBot="1" x14ac:dyDescent="0.25">
      <c r="A79" s="415" t="s">
        <v>136</v>
      </c>
      <c r="B79" s="415"/>
      <c r="C79" s="41"/>
      <c r="D79" s="415"/>
      <c r="E79" s="415"/>
      <c r="F79" s="41"/>
      <c r="G79" s="413"/>
      <c r="H79" s="424"/>
      <c r="J79" s="411"/>
      <c r="K79" s="411"/>
      <c r="L79" s="411"/>
      <c r="M79" s="411"/>
      <c r="N79" s="411"/>
      <c r="O79" s="411"/>
    </row>
    <row r="80" spans="1:15" ht="20.25" customHeight="1" thickBot="1" x14ac:dyDescent="0.25">
      <c r="A80" s="58" t="s">
        <v>369</v>
      </c>
      <c r="B80" s="176"/>
      <c r="C80" s="151"/>
      <c r="D80" s="65">
        <f>VLOOKUP(A80,'Sources des données'!$A$8:$F$98,3,FALSE)</f>
        <v>2.2400000000000002</v>
      </c>
      <c r="E80" s="278" t="str">
        <f>VLOOKUP(A80,'Sources des données'!$A$8:$F$98,4,FALSE)</f>
        <v>kgCO2/kg</v>
      </c>
      <c r="F80" s="146"/>
      <c r="G80" s="60">
        <f>H80*12/44</f>
        <v>0</v>
      </c>
      <c r="H80" s="64">
        <f>D80*B80*52</f>
        <v>0</v>
      </c>
      <c r="I80" s="68"/>
      <c r="J80" s="411"/>
      <c r="K80" s="411"/>
      <c r="L80" s="411"/>
      <c r="M80" s="411"/>
      <c r="N80" s="411"/>
      <c r="O80" s="411"/>
    </row>
    <row r="81" spans="1:15" ht="20.25" customHeight="1" thickBot="1" x14ac:dyDescent="0.25">
      <c r="A81" s="58" t="s">
        <v>358</v>
      </c>
      <c r="B81" s="176"/>
      <c r="C81" s="151"/>
      <c r="D81" s="65">
        <f>VLOOKUP(A81,'Sources des données'!$A$8:$F$98,3,FALSE)</f>
        <v>21.9</v>
      </c>
      <c r="E81" s="278" t="str">
        <f>VLOOKUP(A81,'Sources des données'!$A$8:$F$98,4,FALSE)</f>
        <v>kgCO2/kg</v>
      </c>
      <c r="F81" s="146"/>
      <c r="G81" s="60">
        <f t="shared" ref="G81:G88" si="6">H81*12/44</f>
        <v>0</v>
      </c>
      <c r="H81" s="64">
        <f t="shared" ref="H81:H83" si="7">D81*B81*52</f>
        <v>0</v>
      </c>
      <c r="I81" s="9"/>
      <c r="J81" s="411"/>
      <c r="K81" s="411"/>
      <c r="L81" s="411"/>
      <c r="M81" s="411"/>
      <c r="N81" s="411"/>
      <c r="O81" s="411"/>
    </row>
    <row r="82" spans="1:15" ht="20.25" customHeight="1" thickBot="1" x14ac:dyDescent="0.25">
      <c r="A82" s="52" t="s">
        <v>368</v>
      </c>
      <c r="B82" s="279"/>
      <c r="C82" s="150"/>
      <c r="D82" s="65">
        <f>VLOOKUP(A82,'Sources des données'!$A$8:$F$98,3,FALSE)</f>
        <v>0.66</v>
      </c>
      <c r="E82" s="278" t="str">
        <f>VLOOKUP(A82,'Sources des données'!$A$8:$F$98,4,FALSE)</f>
        <v>kgCO2/kg</v>
      </c>
      <c r="F82" s="146"/>
      <c r="G82" s="60">
        <f t="shared" si="6"/>
        <v>0</v>
      </c>
      <c r="H82" s="64">
        <f t="shared" si="7"/>
        <v>0</v>
      </c>
      <c r="I82" s="9"/>
      <c r="J82" s="411"/>
      <c r="K82" s="411"/>
      <c r="L82" s="411"/>
      <c r="M82" s="411"/>
      <c r="N82" s="411"/>
      <c r="O82" s="411"/>
    </row>
    <row r="83" spans="1:15" ht="20.25" customHeight="1" thickBot="1" x14ac:dyDescent="0.25">
      <c r="A83" s="58" t="s">
        <v>360</v>
      </c>
      <c r="B83" s="177"/>
      <c r="C83" s="150"/>
      <c r="D83" s="65">
        <f>VLOOKUP(A83,'Sources des données'!$A$8:$F$98,3,FALSE)</f>
        <v>0.26700000000000002</v>
      </c>
      <c r="E83" s="278" t="str">
        <f>VLOOKUP(A83,'Sources des données'!$A$8:$F$98,4,FALSE)</f>
        <v>kgCO2/kg</v>
      </c>
      <c r="F83" s="152"/>
      <c r="G83" s="60">
        <f t="shared" si="6"/>
        <v>0</v>
      </c>
      <c r="H83" s="64">
        <f t="shared" si="7"/>
        <v>0</v>
      </c>
      <c r="I83" s="118"/>
      <c r="J83" s="411"/>
      <c r="K83" s="411"/>
      <c r="L83" s="411"/>
      <c r="M83" s="411"/>
      <c r="N83" s="411"/>
      <c r="O83" s="411"/>
    </row>
    <row r="84" spans="1:15" s="10" customFormat="1" ht="33" customHeight="1" thickBot="1" x14ac:dyDescent="0.25">
      <c r="A84" s="415" t="s">
        <v>154</v>
      </c>
      <c r="B84" s="415"/>
      <c r="C84" s="41"/>
      <c r="D84" s="415"/>
      <c r="E84" s="415"/>
      <c r="F84" s="41"/>
      <c r="G84" s="413"/>
      <c r="H84" s="424"/>
      <c r="I84" s="119"/>
      <c r="J84" s="411"/>
      <c r="K84" s="411"/>
      <c r="L84" s="411"/>
      <c r="M84" s="411"/>
      <c r="N84" s="411"/>
      <c r="O84" s="411"/>
    </row>
    <row r="85" spans="1:15" s="10" customFormat="1" ht="20.25" customHeight="1" thickBot="1" x14ac:dyDescent="0.25">
      <c r="A85" s="35" t="s">
        <v>73</v>
      </c>
      <c r="B85" s="177"/>
      <c r="C85" s="154"/>
      <c r="D85" s="65">
        <f>VLOOKUP(A85,'Sources des données'!$A$8:$F$98,3,FALSE)</f>
        <v>2.766</v>
      </c>
      <c r="E85" s="278" t="str">
        <f>VLOOKUP(A85,'Sources des données'!$A$8:$F$98,4,FALSE)</f>
        <v>kgCO2/kg</v>
      </c>
      <c r="F85" s="155"/>
      <c r="G85" s="60">
        <f t="shared" si="6"/>
        <v>0</v>
      </c>
      <c r="H85" s="64">
        <f t="shared" ref="H85" si="8">D85*B85*52</f>
        <v>0</v>
      </c>
      <c r="J85" s="411"/>
      <c r="K85" s="411"/>
      <c r="L85" s="411"/>
      <c r="M85" s="411"/>
      <c r="N85" s="411"/>
      <c r="O85" s="411"/>
    </row>
    <row r="86" spans="1:15" s="10" customFormat="1" ht="24" customHeight="1" thickBot="1" x14ac:dyDescent="0.25">
      <c r="A86" s="415" t="s">
        <v>182</v>
      </c>
      <c r="B86" s="415"/>
      <c r="C86" s="41"/>
      <c r="D86" s="415"/>
      <c r="E86" s="415"/>
      <c r="F86" s="41"/>
      <c r="G86" s="413"/>
      <c r="H86" s="424"/>
      <c r="J86" s="411"/>
      <c r="K86" s="411"/>
      <c r="L86" s="411"/>
      <c r="M86" s="411"/>
      <c r="N86" s="411"/>
      <c r="O86" s="411"/>
    </row>
    <row r="87" spans="1:15" ht="20.25" customHeight="1" thickBot="1" x14ac:dyDescent="0.25">
      <c r="A87" s="53" t="s">
        <v>448</v>
      </c>
      <c r="B87" s="179"/>
      <c r="C87" s="149"/>
      <c r="D87" s="65">
        <f>VLOOKUP(A87,'Sources des données'!$A$8:$F$98,3,FALSE)</f>
        <v>1.48</v>
      </c>
      <c r="E87" s="278" t="str">
        <f>VLOOKUP(A87,'Sources des données'!$A$8:$F$98,4,FALSE)</f>
        <v>kgCO2/kg</v>
      </c>
      <c r="F87" s="144"/>
      <c r="G87" s="60">
        <f t="shared" si="6"/>
        <v>0</v>
      </c>
      <c r="H87" s="64">
        <f t="shared" ref="H87" si="9">D87*B87*52</f>
        <v>0</v>
      </c>
      <c r="J87" s="411"/>
      <c r="K87" s="411"/>
      <c r="L87" s="411"/>
      <c r="M87" s="411"/>
      <c r="N87" s="411"/>
      <c r="O87" s="411"/>
    </row>
    <row r="88" spans="1:15" ht="20.25" customHeight="1" thickBot="1" x14ac:dyDescent="0.25">
      <c r="A88" s="35" t="s">
        <v>449</v>
      </c>
      <c r="B88" s="177"/>
      <c r="C88" s="150"/>
      <c r="D88" s="65">
        <f>VLOOKUP(A88,'Sources des données'!$A$8:$F$98,3,FALSE)</f>
        <v>4.2300000000000004</v>
      </c>
      <c r="E88" s="278" t="str">
        <f>VLOOKUP(A88,'Sources des données'!$A$8:$F$98,4,FALSE)</f>
        <v>kgCO2/kg</v>
      </c>
      <c r="F88" s="152"/>
      <c r="G88" s="60">
        <f t="shared" si="6"/>
        <v>0</v>
      </c>
      <c r="H88" s="64">
        <f t="shared" ref="H88" si="10">D88*B88*52</f>
        <v>0</v>
      </c>
      <c r="J88" s="411"/>
      <c r="K88" s="411"/>
      <c r="L88" s="411"/>
      <c r="M88" s="411"/>
      <c r="N88" s="411"/>
      <c r="O88" s="411"/>
    </row>
    <row r="89" spans="1:15" s="10" customFormat="1" ht="24" customHeight="1" thickBot="1" x14ac:dyDescent="0.25">
      <c r="A89" s="415" t="s">
        <v>34</v>
      </c>
      <c r="B89" s="415"/>
      <c r="C89" s="41"/>
      <c r="D89" s="415"/>
      <c r="E89" s="415"/>
      <c r="F89" s="41"/>
      <c r="G89" s="415"/>
      <c r="H89" s="415"/>
      <c r="J89" s="411"/>
      <c r="K89" s="411"/>
      <c r="L89" s="411"/>
      <c r="M89" s="411"/>
      <c r="N89" s="411"/>
      <c r="O89" s="411"/>
    </row>
    <row r="90" spans="1:15" ht="20.25" customHeight="1" thickBot="1" x14ac:dyDescent="0.25">
      <c r="A90" s="134" t="s">
        <v>319</v>
      </c>
      <c r="B90" s="179"/>
      <c r="C90" s="149"/>
      <c r="D90" s="65">
        <f>VLOOKUP(A90,'Sources des données'!$A$8:$F$98,3,FALSE)</f>
        <v>2</v>
      </c>
      <c r="E90" s="278" t="str">
        <f>VLOOKUP(A90,'Sources des données'!$A$8:$F$98,4,FALSE)</f>
        <v>kgCO2e/litre</v>
      </c>
      <c r="F90" s="144"/>
      <c r="G90" s="60">
        <f t="shared" ref="G90:G93" si="11">H90*12/44</f>
        <v>0</v>
      </c>
      <c r="H90" s="64">
        <f t="shared" ref="H90" si="12">D90*B90*52</f>
        <v>0</v>
      </c>
      <c r="J90" s="411"/>
      <c r="K90" s="411"/>
      <c r="L90" s="411"/>
      <c r="M90" s="411"/>
      <c r="N90" s="411"/>
      <c r="O90" s="411"/>
    </row>
    <row r="91" spans="1:15" ht="20.25" customHeight="1" thickBot="1" x14ac:dyDescent="0.25">
      <c r="A91" s="35" t="s">
        <v>35</v>
      </c>
      <c r="B91" s="177"/>
      <c r="C91" s="150"/>
      <c r="D91" s="65">
        <f>VLOOKUP(A91,'Sources des données'!$A$8:$F$98,3,FALSE)</f>
        <v>1.0900000000000001</v>
      </c>
      <c r="E91" s="278" t="str">
        <f>VLOOKUP(A91,'Sources des données'!$A$8:$F$98,4,FALSE)</f>
        <v>kgCO2e/litre</v>
      </c>
      <c r="F91" s="152"/>
      <c r="G91" s="60">
        <f t="shared" si="11"/>
        <v>0</v>
      </c>
      <c r="H91" s="64">
        <f t="shared" ref="H91" si="13">D91*B91*52</f>
        <v>0</v>
      </c>
      <c r="J91" s="411"/>
      <c r="K91" s="411"/>
      <c r="L91" s="411"/>
      <c r="M91" s="411"/>
      <c r="N91" s="411"/>
      <c r="O91" s="411"/>
    </row>
    <row r="92" spans="1:15" s="10" customFormat="1" ht="24" customHeight="1" thickBot="1" x14ac:dyDescent="0.25">
      <c r="A92" s="415" t="s">
        <v>37</v>
      </c>
      <c r="B92" s="415"/>
      <c r="C92" s="41"/>
      <c r="D92" s="415"/>
      <c r="E92" s="415"/>
      <c r="F92" s="41"/>
      <c r="G92" s="415"/>
      <c r="H92" s="415"/>
      <c r="J92" s="411"/>
      <c r="K92" s="411"/>
      <c r="L92" s="411"/>
      <c r="M92" s="411"/>
      <c r="N92" s="411"/>
      <c r="O92" s="411"/>
    </row>
    <row r="93" spans="1:15" ht="20.25" customHeight="1" thickBot="1" x14ac:dyDescent="0.25">
      <c r="A93" s="159" t="s">
        <v>36</v>
      </c>
      <c r="B93" s="160" t="b">
        <v>0</v>
      </c>
      <c r="C93" s="150"/>
      <c r="D93" s="65">
        <f>'Sources des données'!C58</f>
        <v>430.33500000000004</v>
      </c>
      <c r="E93" s="278" t="s">
        <v>371</v>
      </c>
      <c r="F93" s="152"/>
      <c r="G93" s="60">
        <f t="shared" si="11"/>
        <v>0</v>
      </c>
      <c r="H93" s="64">
        <f>D93*B93</f>
        <v>0</v>
      </c>
      <c r="J93" s="411"/>
      <c r="K93" s="411"/>
      <c r="L93" s="411"/>
      <c r="M93" s="411"/>
      <c r="N93" s="411"/>
      <c r="O93" s="411"/>
    </row>
    <row r="94" spans="1:15" s="8" customFormat="1" ht="32.25" customHeight="1" thickBot="1" x14ac:dyDescent="0.25">
      <c r="A94" s="30"/>
      <c r="B94" s="30"/>
      <c r="C94" s="36"/>
      <c r="D94" s="156"/>
      <c r="E94" s="36"/>
      <c r="F94" s="36"/>
      <c r="G94" s="36"/>
      <c r="H94" s="23"/>
      <c r="I94" s="23"/>
    </row>
    <row r="95" spans="1:15" ht="24" customHeight="1" thickBot="1" x14ac:dyDescent="0.25">
      <c r="A95" s="416" t="s">
        <v>47</v>
      </c>
      <c r="B95" s="416"/>
      <c r="C95" s="40"/>
      <c r="D95" s="40"/>
      <c r="E95" s="40"/>
      <c r="F95" s="40"/>
      <c r="G95" s="40"/>
      <c r="H95" s="40"/>
      <c r="J95" s="410" t="s">
        <v>195</v>
      </c>
      <c r="K95" s="411"/>
      <c r="L95" s="411"/>
      <c r="M95" s="411"/>
      <c r="N95" s="411"/>
      <c r="O95" s="411"/>
    </row>
    <row r="96" spans="1:15" ht="24" customHeight="1" thickBot="1" x14ac:dyDescent="0.25">
      <c r="A96" s="416"/>
      <c r="B96" s="416"/>
      <c r="C96" s="40"/>
      <c r="D96" s="40"/>
      <c r="E96" s="40"/>
      <c r="F96" s="40"/>
      <c r="G96" s="40"/>
      <c r="H96" s="40"/>
      <c r="J96" s="410"/>
      <c r="K96" s="411"/>
      <c r="L96" s="411"/>
      <c r="M96" s="411"/>
      <c r="N96" s="411"/>
      <c r="O96" s="411"/>
    </row>
    <row r="97" spans="1:15" ht="24" customHeight="1" thickBot="1" x14ac:dyDescent="0.25">
      <c r="A97" s="415" t="s">
        <v>239</v>
      </c>
      <c r="B97" s="415"/>
      <c r="C97" s="41"/>
      <c r="D97" s="41"/>
      <c r="E97" s="41"/>
      <c r="F97" s="41"/>
      <c r="G97" s="41"/>
      <c r="H97" s="41"/>
      <c r="J97" s="411"/>
      <c r="K97" s="411"/>
      <c r="L97" s="411"/>
      <c r="M97" s="411"/>
      <c r="N97" s="411"/>
      <c r="O97" s="411"/>
    </row>
    <row r="98" spans="1:15" ht="15.75" thickBot="1" x14ac:dyDescent="0.25">
      <c r="A98" s="53" t="s">
        <v>249</v>
      </c>
      <c r="B98" s="173"/>
      <c r="C98" s="149"/>
      <c r="D98" s="54">
        <v>30</v>
      </c>
      <c r="E98" s="55" t="s">
        <v>255</v>
      </c>
      <c r="F98" s="144"/>
      <c r="G98" s="242">
        <f>H98*12/44</f>
        <v>0</v>
      </c>
      <c r="H98" s="243">
        <f>IF(B99=0,0,D98*B98/B99)</f>
        <v>0</v>
      </c>
      <c r="J98" s="411"/>
      <c r="K98" s="411"/>
      <c r="L98" s="411"/>
      <c r="M98" s="411"/>
      <c r="N98" s="411"/>
      <c r="O98" s="411"/>
    </row>
    <row r="99" spans="1:15" ht="15.75" thickBot="1" x14ac:dyDescent="0.25">
      <c r="A99" s="234" t="s">
        <v>271</v>
      </c>
      <c r="B99" s="173"/>
      <c r="C99" s="149"/>
      <c r="D99" s="54" t="s">
        <v>250</v>
      </c>
      <c r="E99" s="55"/>
      <c r="F99" s="144"/>
      <c r="G99" s="239"/>
      <c r="H99" s="240"/>
      <c r="J99" s="411"/>
      <c r="K99" s="411"/>
      <c r="L99" s="411"/>
      <c r="M99" s="411"/>
      <c r="N99" s="411"/>
      <c r="O99" s="411"/>
    </row>
    <row r="100" spans="1:15" ht="7.5" customHeight="1" thickBot="1" x14ac:dyDescent="0.25">
      <c r="A100" s="235"/>
      <c r="B100" s="241"/>
      <c r="C100" s="236"/>
      <c r="D100" s="237"/>
      <c r="E100" s="238"/>
      <c r="F100" s="238"/>
      <c r="G100" s="239"/>
      <c r="H100" s="240"/>
      <c r="J100" s="411"/>
      <c r="K100" s="411"/>
      <c r="L100" s="411"/>
      <c r="M100" s="411"/>
      <c r="N100" s="411"/>
      <c r="O100" s="411"/>
    </row>
    <row r="101" spans="1:15" ht="15.75" thickBot="1" x14ac:dyDescent="0.25">
      <c r="A101" s="53" t="s">
        <v>240</v>
      </c>
      <c r="B101" s="173"/>
      <c r="C101" s="149"/>
      <c r="D101" s="54">
        <v>133</v>
      </c>
      <c r="E101" s="55" t="s">
        <v>255</v>
      </c>
      <c r="F101" s="144"/>
      <c r="G101" s="242">
        <f>H101*12/44</f>
        <v>0</v>
      </c>
      <c r="H101" s="243">
        <f>IF(B102=0,0,D101*B101/B102)</f>
        <v>0</v>
      </c>
      <c r="J101" s="411"/>
      <c r="K101" s="411"/>
      <c r="L101" s="411"/>
      <c r="M101" s="411"/>
      <c r="N101" s="411"/>
      <c r="O101" s="411"/>
    </row>
    <row r="102" spans="1:15" ht="15.75" thickBot="1" x14ac:dyDescent="0.25">
      <c r="A102" s="234" t="s">
        <v>271</v>
      </c>
      <c r="B102" s="173"/>
      <c r="C102" s="149"/>
      <c r="D102" s="54" t="s">
        <v>250</v>
      </c>
      <c r="E102" s="55"/>
      <c r="F102" s="144"/>
      <c r="G102" s="239"/>
      <c r="H102" s="240"/>
      <c r="J102" s="411"/>
      <c r="K102" s="411"/>
      <c r="L102" s="411"/>
      <c r="M102" s="411"/>
      <c r="N102" s="411"/>
      <c r="O102" s="411"/>
    </row>
    <row r="103" spans="1:15" ht="6.6" customHeight="1" thickBot="1" x14ac:dyDescent="0.25">
      <c r="A103" s="235"/>
      <c r="B103" s="241"/>
      <c r="C103" s="236"/>
      <c r="D103" s="237"/>
      <c r="E103" s="238"/>
      <c r="F103" s="238"/>
      <c r="G103" s="239"/>
      <c r="H103" s="240"/>
      <c r="J103" s="411"/>
      <c r="K103" s="411"/>
      <c r="L103" s="411"/>
      <c r="M103" s="411"/>
      <c r="N103" s="411"/>
      <c r="O103" s="411"/>
    </row>
    <row r="104" spans="1:15" ht="15.75" thickBot="1" x14ac:dyDescent="0.25">
      <c r="A104" s="53" t="s">
        <v>241</v>
      </c>
      <c r="B104" s="173"/>
      <c r="C104" s="149"/>
      <c r="D104" s="54">
        <v>74</v>
      </c>
      <c r="E104" s="55" t="s">
        <v>255</v>
      </c>
      <c r="F104" s="144"/>
      <c r="G104" s="242">
        <f>H104*12/44</f>
        <v>0</v>
      </c>
      <c r="H104" s="243">
        <f>IF(B105=0,0,D104*B104/B105)</f>
        <v>0</v>
      </c>
      <c r="J104" s="411"/>
      <c r="K104" s="411"/>
      <c r="L104" s="411"/>
      <c r="M104" s="411"/>
      <c r="N104" s="411"/>
      <c r="O104" s="411"/>
    </row>
    <row r="105" spans="1:15" ht="15.75" thickBot="1" x14ac:dyDescent="0.25">
      <c r="A105" s="234" t="s">
        <v>271</v>
      </c>
      <c r="B105" s="173"/>
      <c r="C105" s="149"/>
      <c r="D105" s="54" t="s">
        <v>250</v>
      </c>
      <c r="E105" s="55"/>
      <c r="F105" s="144"/>
      <c r="G105" s="239"/>
      <c r="H105" s="240"/>
      <c r="J105" s="411"/>
      <c r="K105" s="411"/>
      <c r="L105" s="411"/>
      <c r="M105" s="411"/>
      <c r="N105" s="411"/>
      <c r="O105" s="411"/>
    </row>
    <row r="106" spans="1:15" ht="6.6" customHeight="1" thickBot="1" x14ac:dyDescent="0.25">
      <c r="A106" s="235"/>
      <c r="B106" s="241"/>
      <c r="C106" s="236"/>
      <c r="D106" s="237"/>
      <c r="E106" s="238"/>
      <c r="F106" s="238"/>
      <c r="G106" s="239"/>
      <c r="H106" s="240"/>
      <c r="J106" s="411"/>
      <c r="K106" s="411"/>
      <c r="L106" s="411"/>
      <c r="M106" s="411"/>
      <c r="N106" s="411"/>
      <c r="O106" s="411"/>
    </row>
    <row r="107" spans="1:15" ht="15.75" thickBot="1" x14ac:dyDescent="0.25">
      <c r="A107" s="53" t="s">
        <v>242</v>
      </c>
      <c r="B107" s="173"/>
      <c r="C107" s="149"/>
      <c r="D107" s="54">
        <v>222</v>
      </c>
      <c r="E107" s="55" t="s">
        <v>255</v>
      </c>
      <c r="F107" s="144"/>
      <c r="G107" s="242">
        <f>H107*12/44</f>
        <v>0</v>
      </c>
      <c r="H107" s="243">
        <f>IF(B108=0,0,D107*B107/B108)</f>
        <v>0</v>
      </c>
      <c r="J107" s="411"/>
      <c r="K107" s="411"/>
      <c r="L107" s="411"/>
      <c r="M107" s="411"/>
      <c r="N107" s="411"/>
      <c r="O107" s="411"/>
    </row>
    <row r="108" spans="1:15" ht="15.75" thickBot="1" x14ac:dyDescent="0.25">
      <c r="A108" s="234" t="s">
        <v>271</v>
      </c>
      <c r="B108" s="173"/>
      <c r="C108" s="149"/>
      <c r="D108" s="54" t="s">
        <v>250</v>
      </c>
      <c r="E108" s="55"/>
      <c r="F108" s="144"/>
      <c r="G108" s="239"/>
      <c r="H108" s="240"/>
      <c r="J108" s="411"/>
      <c r="K108" s="411"/>
      <c r="L108" s="411"/>
      <c r="M108" s="411"/>
      <c r="N108" s="411"/>
      <c r="O108" s="411"/>
    </row>
    <row r="109" spans="1:15" ht="6.6" customHeight="1" thickBot="1" x14ac:dyDescent="0.25">
      <c r="A109" s="235"/>
      <c r="B109" s="241"/>
      <c r="C109" s="236"/>
      <c r="D109" s="237"/>
      <c r="E109" s="238"/>
      <c r="F109" s="238"/>
      <c r="G109" s="239"/>
      <c r="H109" s="240"/>
      <c r="J109" s="411"/>
      <c r="K109" s="411"/>
      <c r="L109" s="411"/>
      <c r="M109" s="411"/>
      <c r="N109" s="411"/>
      <c r="O109" s="411"/>
    </row>
    <row r="110" spans="1:15" ht="15.75" thickBot="1" x14ac:dyDescent="0.25">
      <c r="A110" s="53" t="s">
        <v>243</v>
      </c>
      <c r="B110" s="173"/>
      <c r="C110" s="149"/>
      <c r="D110" s="54">
        <v>296</v>
      </c>
      <c r="E110" s="55" t="s">
        <v>255</v>
      </c>
      <c r="F110" s="144"/>
      <c r="G110" s="242">
        <f>H110*12/44</f>
        <v>0</v>
      </c>
      <c r="H110" s="243">
        <f>IF(B111=0,0,D110*B110/B111)</f>
        <v>0</v>
      </c>
      <c r="J110" s="411"/>
      <c r="K110" s="411"/>
      <c r="L110" s="411"/>
      <c r="M110" s="411"/>
      <c r="N110" s="411"/>
      <c r="O110" s="411"/>
    </row>
    <row r="111" spans="1:15" ht="15.75" thickBot="1" x14ac:dyDescent="0.25">
      <c r="A111" s="234" t="s">
        <v>271</v>
      </c>
      <c r="B111" s="173"/>
      <c r="C111" s="149"/>
      <c r="D111" s="54" t="s">
        <v>250</v>
      </c>
      <c r="E111" s="55"/>
      <c r="F111" s="144"/>
      <c r="G111" s="239"/>
      <c r="H111" s="240"/>
      <c r="J111" s="411"/>
      <c r="K111" s="411"/>
      <c r="L111" s="411"/>
      <c r="M111" s="411"/>
      <c r="N111" s="411"/>
      <c r="O111" s="411"/>
    </row>
    <row r="112" spans="1:15" ht="6.6" customHeight="1" thickBot="1" x14ac:dyDescent="0.25">
      <c r="A112" s="235"/>
      <c r="B112" s="241"/>
      <c r="C112" s="236"/>
      <c r="D112" s="237"/>
      <c r="E112" s="238"/>
      <c r="F112" s="238"/>
      <c r="G112" s="239"/>
      <c r="H112" s="240"/>
      <c r="J112" s="411"/>
      <c r="K112" s="411"/>
      <c r="L112" s="411"/>
      <c r="M112" s="411"/>
      <c r="N112" s="411"/>
      <c r="O112" s="411"/>
    </row>
    <row r="113" spans="1:15" ht="15.75" thickBot="1" x14ac:dyDescent="0.25">
      <c r="A113" s="53" t="s">
        <v>244</v>
      </c>
      <c r="B113" s="173"/>
      <c r="C113" s="149"/>
      <c r="D113" s="54">
        <v>156</v>
      </c>
      <c r="E113" s="55" t="s">
        <v>255</v>
      </c>
      <c r="F113" s="144"/>
      <c r="G113" s="242">
        <f>H113*12/44</f>
        <v>0</v>
      </c>
      <c r="H113" s="243">
        <f>IF(B114=0,0,D113*B113/B114)</f>
        <v>0</v>
      </c>
      <c r="J113" s="411"/>
      <c r="K113" s="411"/>
      <c r="L113" s="411"/>
      <c r="M113" s="411"/>
      <c r="N113" s="411"/>
      <c r="O113" s="411"/>
    </row>
    <row r="114" spans="1:15" ht="15.75" thickBot="1" x14ac:dyDescent="0.25">
      <c r="A114" s="234" t="s">
        <v>271</v>
      </c>
      <c r="B114" s="173"/>
      <c r="C114" s="149"/>
      <c r="D114" s="54" t="s">
        <v>250</v>
      </c>
      <c r="E114" s="55"/>
      <c r="F114" s="144"/>
      <c r="G114" s="239"/>
      <c r="H114" s="240"/>
      <c r="J114" s="411"/>
      <c r="K114" s="411"/>
      <c r="L114" s="411"/>
      <c r="M114" s="411"/>
      <c r="N114" s="411"/>
      <c r="O114" s="411"/>
    </row>
    <row r="115" spans="1:15" ht="6.6" customHeight="1" thickBot="1" x14ac:dyDescent="0.25">
      <c r="A115" s="235"/>
      <c r="B115" s="241"/>
      <c r="C115" s="236"/>
      <c r="D115" s="237"/>
      <c r="E115" s="238"/>
      <c r="F115" s="238"/>
      <c r="G115" s="239"/>
      <c r="H115" s="240"/>
      <c r="J115" s="411"/>
      <c r="K115" s="411"/>
      <c r="L115" s="411"/>
      <c r="M115" s="411"/>
      <c r="N115" s="411"/>
      <c r="O115" s="411"/>
    </row>
    <row r="116" spans="1:15" ht="15.75" thickBot="1" x14ac:dyDescent="0.25">
      <c r="A116" s="53" t="s">
        <v>245</v>
      </c>
      <c r="B116" s="173"/>
      <c r="C116" s="149"/>
      <c r="D116" s="54">
        <v>33</v>
      </c>
      <c r="E116" s="55" t="s">
        <v>255</v>
      </c>
      <c r="F116" s="144"/>
      <c r="G116" s="242">
        <f>H116*12/44</f>
        <v>0</v>
      </c>
      <c r="H116" s="243">
        <f>IF(B117=0,0,D116*B116/B117)</f>
        <v>0</v>
      </c>
      <c r="J116" s="411"/>
      <c r="K116" s="411"/>
      <c r="L116" s="411"/>
      <c r="M116" s="411"/>
      <c r="N116" s="411"/>
      <c r="O116" s="411"/>
    </row>
    <row r="117" spans="1:15" ht="15.75" thickBot="1" x14ac:dyDescent="0.25">
      <c r="A117" s="234" t="s">
        <v>271</v>
      </c>
      <c r="B117" s="173"/>
      <c r="C117" s="149"/>
      <c r="D117" s="54" t="s">
        <v>250</v>
      </c>
      <c r="E117" s="55"/>
      <c r="F117" s="144"/>
      <c r="G117" s="239"/>
      <c r="H117" s="240"/>
      <c r="J117" s="411"/>
      <c r="K117" s="411"/>
      <c r="L117" s="411"/>
      <c r="M117" s="411"/>
      <c r="N117" s="411"/>
      <c r="O117" s="411"/>
    </row>
    <row r="118" spans="1:15" ht="6.6" customHeight="1" thickBot="1" x14ac:dyDescent="0.25">
      <c r="A118" s="235"/>
      <c r="B118" s="241"/>
      <c r="C118" s="236"/>
      <c r="D118" s="237"/>
      <c r="E118" s="238"/>
      <c r="F118" s="238"/>
      <c r="G118" s="239"/>
      <c r="H118" s="240"/>
      <c r="J118" s="411"/>
      <c r="K118" s="411"/>
      <c r="L118" s="411"/>
      <c r="M118" s="411"/>
      <c r="N118" s="411"/>
      <c r="O118" s="411"/>
    </row>
    <row r="119" spans="1:15" ht="15.75" thickBot="1" x14ac:dyDescent="0.25">
      <c r="A119" s="53" t="s">
        <v>246</v>
      </c>
      <c r="B119" s="173"/>
      <c r="C119" s="149"/>
      <c r="D119" s="54">
        <v>63</v>
      </c>
      <c r="E119" s="55" t="s">
        <v>255</v>
      </c>
      <c r="F119" s="144"/>
      <c r="G119" s="242">
        <f>H119*12/44</f>
        <v>0</v>
      </c>
      <c r="H119" s="243">
        <f>IF(B120=0,0,D119*B119/B120)</f>
        <v>0</v>
      </c>
      <c r="J119" s="411"/>
      <c r="K119" s="411"/>
      <c r="L119" s="411"/>
      <c r="M119" s="411"/>
      <c r="N119" s="411"/>
      <c r="O119" s="411"/>
    </row>
    <row r="120" spans="1:15" ht="15.75" thickBot="1" x14ac:dyDescent="0.25">
      <c r="A120" s="234" t="s">
        <v>271</v>
      </c>
      <c r="B120" s="173"/>
      <c r="C120" s="149"/>
      <c r="D120" s="54" t="s">
        <v>250</v>
      </c>
      <c r="E120" s="55"/>
      <c r="F120" s="144"/>
      <c r="G120" s="239"/>
      <c r="H120" s="240"/>
      <c r="J120" s="411"/>
      <c r="K120" s="411"/>
      <c r="L120" s="411"/>
      <c r="M120" s="411"/>
      <c r="N120" s="411"/>
      <c r="O120" s="411"/>
    </row>
    <row r="121" spans="1:15" ht="6.6" customHeight="1" thickBot="1" x14ac:dyDescent="0.25">
      <c r="A121" s="235"/>
      <c r="B121" s="241"/>
      <c r="C121" s="236"/>
      <c r="D121" s="237"/>
      <c r="E121" s="238"/>
      <c r="F121" s="238"/>
      <c r="G121" s="239"/>
      <c r="H121" s="240"/>
      <c r="J121"/>
      <c r="K121"/>
      <c r="L121"/>
      <c r="M121"/>
      <c r="N121"/>
      <c r="O121"/>
    </row>
    <row r="122" spans="1:15" ht="15.75" thickBot="1" x14ac:dyDescent="0.25">
      <c r="A122" s="53" t="s">
        <v>247</v>
      </c>
      <c r="B122" s="173"/>
      <c r="C122" s="149"/>
      <c r="D122" s="54">
        <v>371</v>
      </c>
      <c r="E122" s="55" t="s">
        <v>255</v>
      </c>
      <c r="F122" s="144"/>
      <c r="G122" s="242">
        <f>H122*12/44</f>
        <v>0</v>
      </c>
      <c r="H122" s="243">
        <f>IF(B123=0,0,D122*B122/B123)</f>
        <v>0</v>
      </c>
      <c r="J122"/>
      <c r="K122"/>
      <c r="L122"/>
      <c r="M122"/>
      <c r="N122"/>
      <c r="O122"/>
    </row>
    <row r="123" spans="1:15" ht="15.75" thickBot="1" x14ac:dyDescent="0.25">
      <c r="A123" s="234" t="s">
        <v>271</v>
      </c>
      <c r="B123" s="173"/>
      <c r="C123" s="149"/>
      <c r="D123" s="54" t="s">
        <v>250</v>
      </c>
      <c r="E123" s="55"/>
      <c r="F123" s="144"/>
      <c r="G123" s="239"/>
      <c r="H123" s="240"/>
      <c r="J123"/>
      <c r="K123"/>
      <c r="L123"/>
      <c r="M123"/>
      <c r="N123"/>
      <c r="O123"/>
    </row>
    <row r="124" spans="1:15" ht="6.6" customHeight="1" thickBot="1" x14ac:dyDescent="0.25">
      <c r="A124" s="235"/>
      <c r="B124" s="241"/>
      <c r="C124" s="236"/>
      <c r="D124" s="237"/>
      <c r="E124" s="238"/>
      <c r="F124" s="238"/>
      <c r="G124" s="239"/>
      <c r="H124" s="240"/>
      <c r="J124"/>
      <c r="K124"/>
      <c r="L124"/>
      <c r="M124"/>
      <c r="N124"/>
      <c r="O124"/>
    </row>
    <row r="125" spans="1:15" ht="15.75" thickBot="1" x14ac:dyDescent="0.25">
      <c r="A125" s="53" t="s">
        <v>248</v>
      </c>
      <c r="B125" s="173"/>
      <c r="C125" s="149"/>
      <c r="D125" s="54">
        <v>94</v>
      </c>
      <c r="E125" s="55" t="s">
        <v>255</v>
      </c>
      <c r="F125" s="144"/>
      <c r="G125" s="242">
        <f>H125*12/44</f>
        <v>0</v>
      </c>
      <c r="H125" s="243">
        <f>IF(B126=0,0,D125*B125/B126)</f>
        <v>0</v>
      </c>
      <c r="J125"/>
      <c r="K125"/>
      <c r="L125"/>
      <c r="M125"/>
      <c r="N125"/>
      <c r="O125"/>
    </row>
    <row r="126" spans="1:15" ht="15.75" thickBot="1" x14ac:dyDescent="0.25">
      <c r="A126" s="234" t="s">
        <v>271</v>
      </c>
      <c r="B126" s="173"/>
      <c r="C126" s="149"/>
      <c r="D126" s="54" t="s">
        <v>250</v>
      </c>
      <c r="E126" s="55"/>
      <c r="F126" s="144"/>
      <c r="G126" s="239"/>
      <c r="H126" s="240"/>
      <c r="J126"/>
      <c r="K126"/>
      <c r="L126"/>
      <c r="M126"/>
      <c r="N126"/>
      <c r="O126"/>
    </row>
    <row r="127" spans="1:15" ht="24" customHeight="1" x14ac:dyDescent="0.2">
      <c r="A127" s="415" t="s">
        <v>251</v>
      </c>
      <c r="B127" s="415"/>
      <c r="C127" s="226"/>
      <c r="D127" s="226"/>
      <c r="E127" s="226"/>
      <c r="F127" s="226"/>
      <c r="G127" s="226"/>
      <c r="H127" s="226"/>
      <c r="J127"/>
      <c r="K127"/>
      <c r="L127"/>
      <c r="M127"/>
      <c r="N127"/>
      <c r="O127"/>
    </row>
    <row r="128" spans="1:15" ht="33" customHeight="1" thickBot="1" x14ac:dyDescent="0.25">
      <c r="A128" s="53" t="s">
        <v>253</v>
      </c>
      <c r="B128" s="173"/>
      <c r="C128" s="149"/>
      <c r="D128" s="66">
        <v>0.3</v>
      </c>
      <c r="E128" s="55" t="s">
        <v>252</v>
      </c>
      <c r="F128" s="144"/>
      <c r="G128" s="242">
        <f>H128*12/44</f>
        <v>0</v>
      </c>
      <c r="H128" s="243">
        <f>D128*B128</f>
        <v>0</v>
      </c>
      <c r="J128"/>
      <c r="K128"/>
      <c r="L128"/>
      <c r="M128"/>
      <c r="N128"/>
      <c r="O128"/>
    </row>
    <row r="129" spans="1:15" ht="24" customHeight="1" x14ac:dyDescent="0.2">
      <c r="A129" s="415" t="s">
        <v>254</v>
      </c>
      <c r="B129" s="415"/>
      <c r="C129" s="226"/>
      <c r="D129" s="226"/>
      <c r="E129" s="226"/>
      <c r="F129" s="226"/>
      <c r="G129" s="226"/>
      <c r="H129" s="226"/>
      <c r="J129"/>
      <c r="K129"/>
      <c r="L129"/>
      <c r="M129"/>
      <c r="N129"/>
      <c r="O129"/>
    </row>
    <row r="130" spans="1:15" ht="45.75" thickBot="1" x14ac:dyDescent="0.25">
      <c r="A130" s="53" t="s">
        <v>256</v>
      </c>
      <c r="B130" s="173"/>
      <c r="C130" s="149"/>
      <c r="D130" s="67">
        <v>1</v>
      </c>
      <c r="E130" s="55" t="s">
        <v>252</v>
      </c>
      <c r="F130" s="144"/>
      <c r="G130" s="242">
        <f>H130*12/44</f>
        <v>0</v>
      </c>
      <c r="H130" s="243">
        <f>D130*B130</f>
        <v>0</v>
      </c>
      <c r="J130"/>
      <c r="K130"/>
      <c r="L130"/>
      <c r="M130"/>
      <c r="N130"/>
      <c r="O130"/>
    </row>
    <row r="131" spans="1:15" ht="25.5" customHeight="1" thickBot="1" x14ac:dyDescent="0.25">
      <c r="A131" s="415" t="s">
        <v>284</v>
      </c>
      <c r="B131" s="415"/>
      <c r="C131" s="236"/>
      <c r="D131" s="237"/>
      <c r="E131" s="238"/>
      <c r="F131" s="238"/>
      <c r="G131" s="239"/>
      <c r="H131" s="240"/>
      <c r="J131"/>
      <c r="K131"/>
      <c r="L131"/>
      <c r="M131"/>
      <c r="N131"/>
      <c r="O131"/>
    </row>
    <row r="132" spans="1:15" ht="30.75" thickBot="1" x14ac:dyDescent="0.25">
      <c r="A132" s="63" t="s">
        <v>290</v>
      </c>
      <c r="B132" s="175"/>
      <c r="C132" s="151"/>
      <c r="D132" s="246">
        <f>55/1000</f>
        <v>5.5E-2</v>
      </c>
      <c r="E132" s="55" t="s">
        <v>261</v>
      </c>
      <c r="F132" s="146"/>
      <c r="G132" s="60">
        <f>H132*12/44</f>
        <v>0</v>
      </c>
      <c r="H132" s="166">
        <f>D132*B132</f>
        <v>0</v>
      </c>
      <c r="J132"/>
      <c r="K132"/>
      <c r="L132"/>
      <c r="M132"/>
      <c r="N132"/>
      <c r="O132"/>
    </row>
    <row r="133" spans="1:15" ht="25.5" customHeight="1" thickBot="1" x14ac:dyDescent="0.25">
      <c r="A133" s="415" t="s">
        <v>285</v>
      </c>
      <c r="B133" s="415"/>
      <c r="C133" s="236"/>
      <c r="D133" s="237"/>
      <c r="E133" s="238"/>
      <c r="F133" s="238"/>
      <c r="G133" s="239"/>
      <c r="H133" s="240"/>
      <c r="J133"/>
      <c r="K133"/>
      <c r="L133"/>
      <c r="M133"/>
      <c r="N133"/>
      <c r="O133"/>
    </row>
    <row r="134" spans="1:15" ht="30.75" thickBot="1" x14ac:dyDescent="0.25">
      <c r="A134" s="63" t="s">
        <v>500</v>
      </c>
      <c r="B134" s="175"/>
      <c r="C134" s="151"/>
      <c r="D134" s="246">
        <f>'Sources des données'!C70</f>
        <v>0.01</v>
      </c>
      <c r="E134" s="55" t="s">
        <v>286</v>
      </c>
      <c r="F134" s="146"/>
      <c r="G134" s="60">
        <f>H134*12/44</f>
        <v>0</v>
      </c>
      <c r="H134" s="166">
        <f>D134*B134*365</f>
        <v>0</v>
      </c>
      <c r="J134"/>
      <c r="K134"/>
      <c r="L134"/>
      <c r="M134"/>
      <c r="N134"/>
      <c r="O134"/>
    </row>
    <row r="135" spans="1:15" s="8" customFormat="1" ht="32.25" customHeight="1" thickBot="1" x14ac:dyDescent="0.25">
      <c r="A135" s="38"/>
      <c r="B135" s="38"/>
      <c r="C135" s="36"/>
      <c r="D135" s="36"/>
      <c r="E135" s="36"/>
      <c r="F135" s="36"/>
      <c r="G135" s="36"/>
      <c r="H135" s="23"/>
    </row>
    <row r="136" spans="1:15" ht="24" customHeight="1" x14ac:dyDescent="0.2">
      <c r="A136" s="416" t="s">
        <v>38</v>
      </c>
      <c r="B136" s="416"/>
      <c r="C136" s="40"/>
      <c r="D136" s="40"/>
      <c r="E136" s="40"/>
      <c r="F136" s="40"/>
      <c r="G136" s="40"/>
      <c r="H136" s="40"/>
      <c r="J136" s="401" t="s">
        <v>373</v>
      </c>
      <c r="K136" s="402"/>
      <c r="L136" s="402"/>
      <c r="M136" s="402"/>
      <c r="N136" s="402"/>
      <c r="O136" s="403"/>
    </row>
    <row r="137" spans="1:15" ht="24" customHeight="1" x14ac:dyDescent="0.2">
      <c r="A137" s="416"/>
      <c r="B137" s="416"/>
      <c r="C137" s="40"/>
      <c r="D137" s="40"/>
      <c r="E137" s="40"/>
      <c r="F137" s="40"/>
      <c r="G137" s="40"/>
      <c r="H137" s="40"/>
      <c r="J137" s="404"/>
      <c r="K137" s="405"/>
      <c r="L137" s="405"/>
      <c r="M137" s="405"/>
      <c r="N137" s="405"/>
      <c r="O137" s="406"/>
    </row>
    <row r="138" spans="1:15" ht="39" customHeight="1" x14ac:dyDescent="0.2">
      <c r="A138" s="415" t="s">
        <v>200</v>
      </c>
      <c r="B138" s="415"/>
      <c r="C138" s="41"/>
      <c r="D138" s="41"/>
      <c r="E138" s="41"/>
      <c r="F138" s="41"/>
      <c r="G138" s="41"/>
      <c r="H138" s="41"/>
      <c r="J138" s="404"/>
      <c r="K138" s="405"/>
      <c r="L138" s="405"/>
      <c r="M138" s="405"/>
      <c r="N138" s="405"/>
      <c r="O138" s="406"/>
    </row>
    <row r="139" spans="1:15" ht="20.25" customHeight="1" thickBot="1" x14ac:dyDescent="0.25">
      <c r="A139" s="53" t="s">
        <v>39</v>
      </c>
      <c r="B139" s="181"/>
      <c r="C139" s="149"/>
      <c r="D139" s="249">
        <f>'Sources des données'!C75</f>
        <v>11.3125</v>
      </c>
      <c r="E139" s="55" t="s">
        <v>340</v>
      </c>
      <c r="F139" s="144"/>
      <c r="G139" s="56">
        <f>12/44*H139</f>
        <v>0</v>
      </c>
      <c r="H139" s="165">
        <f>D139*B139/1000</f>
        <v>0</v>
      </c>
      <c r="J139" s="404"/>
      <c r="K139" s="405"/>
      <c r="L139" s="405"/>
      <c r="M139" s="405"/>
      <c r="N139" s="405"/>
      <c r="O139" s="406"/>
    </row>
    <row r="140" spans="1:15" ht="20.25" customHeight="1" thickBot="1" x14ac:dyDescent="0.25">
      <c r="A140" s="63" t="s">
        <v>40</v>
      </c>
      <c r="B140" s="180"/>
      <c r="C140" s="151"/>
      <c r="D140" s="249">
        <f>'Sources des données'!C77</f>
        <v>3.3999999999999995</v>
      </c>
      <c r="E140" s="55" t="s">
        <v>199</v>
      </c>
      <c r="F140" s="146"/>
      <c r="G140" s="56">
        <f>12/44*H140</f>
        <v>0</v>
      </c>
      <c r="H140" s="165">
        <f>D140*B140/1000</f>
        <v>0</v>
      </c>
      <c r="J140" s="407"/>
      <c r="K140" s="408"/>
      <c r="L140" s="408"/>
      <c r="M140" s="408"/>
      <c r="N140" s="408"/>
      <c r="O140" s="409"/>
    </row>
    <row r="141" spans="1:15" s="8" customFormat="1" ht="32.25" customHeight="1" thickBot="1" x14ac:dyDescent="0.25">
      <c r="A141" s="38"/>
      <c r="B141" s="38"/>
      <c r="C141" s="36"/>
      <c r="D141" s="36"/>
      <c r="E141" s="36"/>
      <c r="F141" s="36"/>
      <c r="G141" s="36"/>
      <c r="H141" s="23"/>
    </row>
    <row r="142" spans="1:15" ht="24" customHeight="1" x14ac:dyDescent="0.2">
      <c r="A142" s="416" t="s">
        <v>41</v>
      </c>
      <c r="B142" s="416"/>
      <c r="C142" s="40"/>
      <c r="D142" s="40"/>
      <c r="E142" s="40"/>
      <c r="F142" s="40"/>
      <c r="G142" s="40"/>
      <c r="H142" s="40"/>
      <c r="J142" s="401" t="s">
        <v>374</v>
      </c>
      <c r="K142" s="402"/>
      <c r="L142" s="402"/>
      <c r="M142" s="402"/>
      <c r="N142" s="402"/>
      <c r="O142" s="403"/>
    </row>
    <row r="143" spans="1:15" ht="24" customHeight="1" x14ac:dyDescent="0.2">
      <c r="A143" s="416"/>
      <c r="B143" s="416"/>
      <c r="C143" s="40"/>
      <c r="D143" s="40"/>
      <c r="E143" s="40"/>
      <c r="F143" s="40"/>
      <c r="G143" s="40"/>
      <c r="H143" s="40"/>
      <c r="J143" s="404"/>
      <c r="K143" s="405"/>
      <c r="L143" s="405"/>
      <c r="M143" s="405"/>
      <c r="N143" s="405"/>
      <c r="O143" s="406"/>
    </row>
    <row r="144" spans="1:15" ht="47.25" customHeight="1" x14ac:dyDescent="0.2">
      <c r="A144" s="415" t="s">
        <v>159</v>
      </c>
      <c r="B144" s="415"/>
      <c r="C144" s="41"/>
      <c r="D144" s="41"/>
      <c r="E144" s="41"/>
      <c r="F144" s="41"/>
      <c r="G144" s="41"/>
      <c r="H144" s="41"/>
      <c r="J144" s="404"/>
      <c r="K144" s="405"/>
      <c r="L144" s="405"/>
      <c r="M144" s="405"/>
      <c r="N144" s="405"/>
      <c r="O144" s="406"/>
    </row>
    <row r="145" spans="1:15" ht="20.25" customHeight="1" thickBot="1" x14ac:dyDescent="0.25">
      <c r="A145" s="423" t="s">
        <v>42</v>
      </c>
      <c r="B145" s="423"/>
      <c r="C145" s="161"/>
      <c r="D145" s="162">
        <f>'Sources des données'!C81</f>
        <v>1113</v>
      </c>
      <c r="E145" s="157" t="s">
        <v>339</v>
      </c>
      <c r="F145" s="163"/>
      <c r="G145" s="158">
        <f>H145*12/44</f>
        <v>303.54545454545456</v>
      </c>
      <c r="H145" s="164">
        <f>D145</f>
        <v>1113</v>
      </c>
      <c r="J145" s="404"/>
      <c r="K145" s="405"/>
      <c r="L145" s="405"/>
      <c r="M145" s="405"/>
      <c r="N145" s="405"/>
      <c r="O145" s="406"/>
    </row>
    <row r="146" spans="1:15" ht="13.5" thickBot="1" x14ac:dyDescent="0.25">
      <c r="A146" s="13"/>
      <c r="B146" s="13"/>
      <c r="D146" s="13"/>
      <c r="E146" s="13"/>
      <c r="F146" s="36"/>
      <c r="G146" s="13"/>
      <c r="H146" s="13"/>
      <c r="J146" s="407"/>
      <c r="K146" s="408"/>
      <c r="L146" s="408"/>
      <c r="M146" s="408"/>
      <c r="N146" s="408"/>
      <c r="O146" s="409"/>
    </row>
    <row r="147" spans="1:15" x14ac:dyDescent="0.2">
      <c r="A147" s="10"/>
      <c r="B147" s="10"/>
      <c r="D147" s="10"/>
      <c r="E147" s="10"/>
      <c r="F147" s="37"/>
      <c r="G147" s="10"/>
      <c r="H147" s="10"/>
    </row>
    <row r="159" spans="1:15" ht="12.75" customHeight="1" x14ac:dyDescent="0.2"/>
  </sheetData>
  <mergeCells count="75">
    <mergeCell ref="G92:H92"/>
    <mergeCell ref="G89:H89"/>
    <mergeCell ref="G86:H86"/>
    <mergeCell ref="J136:O140"/>
    <mergeCell ref="J26:O52"/>
    <mergeCell ref="J68:O93"/>
    <mergeCell ref="J54:O66"/>
    <mergeCell ref="G48:H48"/>
    <mergeCell ref="G84:H84"/>
    <mergeCell ref="G50:H50"/>
    <mergeCell ref="G79:H79"/>
    <mergeCell ref="G75:H75"/>
    <mergeCell ref="G60:H60"/>
    <mergeCell ref="G63:H63"/>
    <mergeCell ref="G65:H65"/>
    <mergeCell ref="D26:E27"/>
    <mergeCell ref="A138:B138"/>
    <mergeCell ref="A142:B143"/>
    <mergeCell ref="A144:B144"/>
    <mergeCell ref="A145:B145"/>
    <mergeCell ref="A92:B92"/>
    <mergeCell ref="A95:B96"/>
    <mergeCell ref="A97:B97"/>
    <mergeCell ref="A136:B137"/>
    <mergeCell ref="D92:E92"/>
    <mergeCell ref="A84:B84"/>
    <mergeCell ref="A86:B86"/>
    <mergeCell ref="A89:B89"/>
    <mergeCell ref="D89:E89"/>
    <mergeCell ref="D86:E86"/>
    <mergeCell ref="D84:E84"/>
    <mergeCell ref="A75:B75"/>
    <mergeCell ref="A79:B79"/>
    <mergeCell ref="D79:E79"/>
    <mergeCell ref="D75:E75"/>
    <mergeCell ref="A48:B48"/>
    <mergeCell ref="A50:B50"/>
    <mergeCell ref="A70:B70"/>
    <mergeCell ref="D50:E50"/>
    <mergeCell ref="D48:E48"/>
    <mergeCell ref="A60:B60"/>
    <mergeCell ref="D60:E60"/>
    <mergeCell ref="A63:B63"/>
    <mergeCell ref="D63:E63"/>
    <mergeCell ref="A68:B68"/>
    <mergeCell ref="A65:B65"/>
    <mergeCell ref="D65:E65"/>
    <mergeCell ref="A26:B27"/>
    <mergeCell ref="A28:B28"/>
    <mergeCell ref="A38:B38"/>
    <mergeCell ref="A43:B43"/>
    <mergeCell ref="A46:B46"/>
    <mergeCell ref="D17:H17"/>
    <mergeCell ref="A1:H1"/>
    <mergeCell ref="A7:B8"/>
    <mergeCell ref="D7:E7"/>
    <mergeCell ref="G7:H7"/>
    <mergeCell ref="A11:B11"/>
    <mergeCell ref="A9:B10"/>
    <mergeCell ref="J142:O146"/>
    <mergeCell ref="J95:O120"/>
    <mergeCell ref="D69:H69"/>
    <mergeCell ref="A22:B22"/>
    <mergeCell ref="D22:H22"/>
    <mergeCell ref="J9:O24"/>
    <mergeCell ref="A131:B131"/>
    <mergeCell ref="A133:B133"/>
    <mergeCell ref="A34:B34"/>
    <mergeCell ref="A54:B55"/>
    <mergeCell ref="A56:B56"/>
    <mergeCell ref="A127:B127"/>
    <mergeCell ref="A129:B129"/>
    <mergeCell ref="A14:B14"/>
    <mergeCell ref="D14:H14"/>
    <mergeCell ref="A17:B17"/>
  </mergeCells>
  <conditionalFormatting sqref="B15:B16 B18:B21 B44 B47 B49 B51:B52 B71:B74 B76:B78 B80:B83 B85 B87:B88 B90:B91 B93 B98:B99 B139:B140 B12:B13 B101:B102 B125:B126 B122:B123 B119:B120 B116:B117 B113:B114 B110:B111 B104:B105 B107:B108 B31:B33 B39:B42">
    <cfRule type="containsBlanks" dxfId="16" priority="24">
      <formula>LEN(TRIM(B12))=0</formula>
    </cfRule>
  </conditionalFormatting>
  <conditionalFormatting sqref="B128">
    <cfRule type="containsBlanks" dxfId="15" priority="21">
      <formula>LEN(TRIM(B128))=0</formula>
    </cfRule>
  </conditionalFormatting>
  <conditionalFormatting sqref="B132">
    <cfRule type="containsBlanks" dxfId="14" priority="20">
      <formula>LEN(TRIM(B132))=0</formula>
    </cfRule>
  </conditionalFormatting>
  <conditionalFormatting sqref="B130">
    <cfRule type="containsBlanks" dxfId="13" priority="19">
      <formula>LEN(TRIM(B130))=0</formula>
    </cfRule>
  </conditionalFormatting>
  <conditionalFormatting sqref="B23:B24">
    <cfRule type="containsBlanks" dxfId="12" priority="18">
      <formula>LEN(TRIM(B23))=0</formula>
    </cfRule>
  </conditionalFormatting>
  <conditionalFormatting sqref="B134">
    <cfRule type="containsBlanks" dxfId="11" priority="17">
      <formula>LEN(TRIM(B134))=0</formula>
    </cfRule>
  </conditionalFormatting>
  <conditionalFormatting sqref="B35:B36">
    <cfRule type="containsBlanks" dxfId="10" priority="16">
      <formula>LEN(TRIM(B35))=0</formula>
    </cfRule>
  </conditionalFormatting>
  <conditionalFormatting sqref="B57:B59 B61:B62 B64">
    <cfRule type="containsBlanks" dxfId="9" priority="15">
      <formula>LEN(TRIM(B57))=0</formula>
    </cfRule>
  </conditionalFormatting>
  <conditionalFormatting sqref="B66">
    <cfRule type="containsBlanks" dxfId="8" priority="12">
      <formula>LEN(TRIM(B66))=0</formula>
    </cfRule>
  </conditionalFormatting>
  <conditionalFormatting sqref="B69">
    <cfRule type="containsBlanks" dxfId="7" priority="10">
      <formula>LEN(TRIM(B69))=0</formula>
    </cfRule>
  </conditionalFormatting>
  <conditionalFormatting sqref="B45">
    <cfRule type="containsBlanks" dxfId="6" priority="4">
      <formula>LEN(TRIM(B45))=0</formula>
    </cfRule>
  </conditionalFormatting>
  <conditionalFormatting sqref="B37">
    <cfRule type="containsBlanks" dxfId="5" priority="3">
      <formula>LEN(TRIM(B37))=0</formula>
    </cfRule>
  </conditionalFormatting>
  <conditionalFormatting sqref="B29">
    <cfRule type="containsBlanks" dxfId="4" priority="2">
      <formula>LEN(TRIM(B29))=0</formula>
    </cfRule>
  </conditionalFormatting>
  <conditionalFormatting sqref="B30">
    <cfRule type="containsBlanks" dxfId="3" priority="1">
      <formula>LEN(TRIM(B30))=0</formula>
    </cfRule>
  </conditionalFormatting>
  <hyperlinks>
    <hyperlink ref="E8" location="FAQ!A3" display=" (cf. foire aux questions)" xr:uid="{00000000-0004-0000-0200-000000000000}"/>
    <hyperlink ref="D17:H17" location="'Calcul Consommation Energie'!A1" display="(Pour une aide à l'estimation, voir la page dédié)" xr:uid="{00000000-0004-0000-0200-000001000000}"/>
    <hyperlink ref="D14:H14" location="'Calcul Consommation Energie'!A1" display="(Pour une aide à l'estimation, voir la page dédié)" xr:uid="{00000000-0004-0000-0200-000002000000}"/>
    <hyperlink ref="D22:H22" location="'Calcul Consommation Energie'!A1" display="(Pour une aide à l'estimation, voir la page dédié)" xr:uid="{44BBD5AB-75A0-4FE9-A016-974E885FD1AC}"/>
  </hyperlinks>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91617" r:id="rId4" name="Check Box 1">
              <controlPr defaultSize="0" autoFill="0" autoLine="0" autoPict="0">
                <anchor moveWithCells="1">
                  <from>
                    <xdr:col>1</xdr:col>
                    <xdr:colOff>371475</xdr:colOff>
                    <xdr:row>92</xdr:row>
                    <xdr:rowOff>9525</xdr:rowOff>
                  </from>
                  <to>
                    <xdr:col>1</xdr:col>
                    <xdr:colOff>561975</xdr:colOff>
                    <xdr:row>93</xdr:row>
                    <xdr:rowOff>28575</xdr:rowOff>
                  </to>
                </anchor>
              </controlPr>
            </control>
          </mc:Choice>
        </mc:AlternateContent>
        <mc:AlternateContent xmlns:mc="http://schemas.openxmlformats.org/markup-compatibility/2006">
          <mc:Choice Requires="x14">
            <control shapeId="1391621" r:id="rId5" name="Check Box 5">
              <controlPr defaultSize="0" autoFill="0" autoLine="0" autoPict="0">
                <anchor moveWithCells="1">
                  <from>
                    <xdr:col>1</xdr:col>
                    <xdr:colOff>371475</xdr:colOff>
                    <xdr:row>63</xdr:row>
                    <xdr:rowOff>9525</xdr:rowOff>
                  </from>
                  <to>
                    <xdr:col>1</xdr:col>
                    <xdr:colOff>561975</xdr:colOff>
                    <xdr:row>64</xdr:row>
                    <xdr:rowOff>28575</xdr:rowOff>
                  </to>
                </anchor>
              </controlPr>
            </control>
          </mc:Choice>
        </mc:AlternateContent>
        <mc:AlternateContent xmlns:mc="http://schemas.openxmlformats.org/markup-compatibility/2006">
          <mc:Choice Requires="x14">
            <control shapeId="1391623" r:id="rId6" name="Check Box 7">
              <controlPr defaultSize="0" autoFill="0" autoLine="0" autoPict="0">
                <anchor moveWithCells="1">
                  <from>
                    <xdr:col>1</xdr:col>
                    <xdr:colOff>371475</xdr:colOff>
                    <xdr:row>65</xdr:row>
                    <xdr:rowOff>9525</xdr:rowOff>
                  </from>
                  <to>
                    <xdr:col>1</xdr:col>
                    <xdr:colOff>561975</xdr:colOff>
                    <xdr:row>66</xdr:row>
                    <xdr:rowOff>28575</xdr:rowOff>
                  </to>
                </anchor>
              </controlPr>
            </control>
          </mc:Choice>
        </mc:AlternateContent>
        <mc:AlternateContent xmlns:mc="http://schemas.openxmlformats.org/markup-compatibility/2006">
          <mc:Choice Requires="x14">
            <control shapeId="1391626" r:id="rId7" name="Check Box 10">
              <controlPr defaultSize="0" autoFill="0" autoLine="0" autoPict="0">
                <anchor moveWithCells="1">
                  <from>
                    <xdr:col>1</xdr:col>
                    <xdr:colOff>371475</xdr:colOff>
                    <xdr:row>68</xdr:row>
                    <xdr:rowOff>9525</xdr:rowOff>
                  </from>
                  <to>
                    <xdr:col>1</xdr:col>
                    <xdr:colOff>561975</xdr:colOff>
                    <xdr:row>68</xdr:row>
                    <xdr:rowOff>285750</xdr:rowOff>
                  </to>
                </anchor>
              </controlPr>
            </control>
          </mc:Choice>
        </mc:AlternateContent>
        <mc:AlternateContent xmlns:mc="http://schemas.openxmlformats.org/markup-compatibility/2006">
          <mc:Choice Requires="x14">
            <control shapeId="1391628" r:id="rId8" name="Check Box 12">
              <controlPr defaultSize="0" autoFill="0" autoLine="0" autoPict="0">
                <anchor moveWithCells="1">
                  <from>
                    <xdr:col>1</xdr:col>
                    <xdr:colOff>371475</xdr:colOff>
                    <xdr:row>68</xdr:row>
                    <xdr:rowOff>9525</xdr:rowOff>
                  </from>
                  <to>
                    <xdr:col>1</xdr:col>
                    <xdr:colOff>561975</xdr:colOff>
                    <xdr:row>68</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194"/>
  <sheetViews>
    <sheetView showGridLines="0" topLeftCell="A73" zoomScale="80" zoomScaleNormal="80" workbookViewId="0">
      <selection activeCell="D83" sqref="D83"/>
    </sheetView>
  </sheetViews>
  <sheetFormatPr baseColWidth="10" defaultColWidth="11.42578125" defaultRowHeight="12.75" x14ac:dyDescent="0.2"/>
  <cols>
    <col min="1" max="1" width="31.85546875" style="7" customWidth="1"/>
    <col min="2" max="2" width="32.140625" style="16" customWidth="1"/>
    <col min="3" max="3" width="16.5703125" style="3" hidden="1" customWidth="1"/>
    <col min="4" max="4" width="16.5703125" style="7" customWidth="1"/>
    <col min="5" max="5" width="3.5703125" style="7" customWidth="1"/>
    <col min="6" max="6" width="21.42578125" style="7" customWidth="1"/>
    <col min="7" max="9" width="11.42578125" style="7"/>
    <col min="10" max="10" width="4.42578125" style="7" customWidth="1"/>
    <col min="11" max="11" width="4.5703125" style="7" customWidth="1"/>
    <col min="12" max="12" width="11.42578125" style="7"/>
    <col min="13" max="13" width="11.42578125" style="7" customWidth="1"/>
    <col min="14" max="14" width="62.42578125" style="7" customWidth="1"/>
    <col min="15" max="15" width="11.42578125" style="7"/>
    <col min="16" max="16" width="22.140625" style="7" customWidth="1"/>
    <col min="17" max="16384" width="11.42578125" style="7"/>
  </cols>
  <sheetData>
    <row r="1" spans="1:16" ht="43.35" customHeight="1" x14ac:dyDescent="0.2">
      <c r="A1" s="418" t="s">
        <v>186</v>
      </c>
      <c r="B1" s="418"/>
      <c r="C1" s="418"/>
      <c r="D1" s="418"/>
      <c r="E1" s="418"/>
      <c r="F1" s="418"/>
    </row>
    <row r="2" spans="1:16" ht="7.35" customHeight="1" x14ac:dyDescent="0.2">
      <c r="N2" s="219" t="s">
        <v>118</v>
      </c>
    </row>
    <row r="3" spans="1:16" x14ac:dyDescent="0.2">
      <c r="M3" s="16"/>
    </row>
    <row r="7" spans="1:16" ht="30" x14ac:dyDescent="0.2">
      <c r="B7" s="96"/>
      <c r="C7" s="121" t="s">
        <v>113</v>
      </c>
      <c r="D7" s="120" t="s">
        <v>60</v>
      </c>
      <c r="E7" s="97"/>
      <c r="F7" s="97"/>
      <c r="G7" s="13"/>
      <c r="H7" s="13"/>
      <c r="I7" s="13"/>
      <c r="J7" s="13"/>
      <c r="M7" s="365"/>
      <c r="N7" s="365"/>
      <c r="O7" s="365"/>
    </row>
    <row r="8" spans="1:16" ht="15.75" thickBot="1" x14ac:dyDescent="0.3">
      <c r="A8" s="70"/>
      <c r="B8" s="91"/>
      <c r="C8" s="171" t="s">
        <v>171</v>
      </c>
      <c r="D8" s="172" t="s">
        <v>171</v>
      </c>
      <c r="E8" s="97"/>
      <c r="F8" s="97"/>
      <c r="G8" s="13"/>
      <c r="H8" s="13"/>
      <c r="I8" s="13"/>
      <c r="J8" s="13"/>
      <c r="M8" s="365"/>
      <c r="N8" s="286" t="s">
        <v>451</v>
      </c>
      <c r="O8" s="286"/>
    </row>
    <row r="9" spans="1:16" ht="32.450000000000003" customHeight="1" thickBot="1" x14ac:dyDescent="0.25">
      <c r="A9" s="459" t="s">
        <v>187</v>
      </c>
      <c r="B9" s="300" t="s">
        <v>100</v>
      </c>
      <c r="C9" s="77">
        <f>D9*12/44</f>
        <v>427.41818181818184</v>
      </c>
      <c r="D9" s="102">
        <f>B35</f>
        <v>1567.2</v>
      </c>
      <c r="E9" s="449" t="str">
        <f>IF(D9&lt;1800,N8,IF(D9&lt;5000,N9,IF(D9&lt;D10,N10,IF(D9&lt;15000,N11,N12))))</f>
        <v xml:space="preserve">Bravo ! Si tout le monde avait le même mode de vie que vous, nous limiterions le réchauffement climatique en dessous des recommandations des scientifiques. </v>
      </c>
      <c r="F9" s="450"/>
      <c r="G9" s="450"/>
      <c r="H9" s="450"/>
      <c r="I9" s="450"/>
      <c r="J9" s="450"/>
      <c r="M9" s="365"/>
      <c r="N9" s="219" t="s">
        <v>452</v>
      </c>
      <c r="O9" s="286"/>
      <c r="P9" s="286"/>
    </row>
    <row r="10" spans="1:16" ht="15.75" thickBot="1" x14ac:dyDescent="0.25">
      <c r="A10" s="460"/>
      <c r="B10" s="301" t="s">
        <v>61</v>
      </c>
      <c r="C10" s="105">
        <f>D10*12/44</f>
        <v>3082.909090909091</v>
      </c>
      <c r="D10" s="106">
        <f>D35</f>
        <v>11304</v>
      </c>
      <c r="E10" s="449"/>
      <c r="F10" s="450"/>
      <c r="G10" s="450"/>
      <c r="H10" s="450"/>
      <c r="I10" s="450"/>
      <c r="J10" s="450"/>
      <c r="M10" s="365"/>
      <c r="N10" s="219" t="s">
        <v>453</v>
      </c>
      <c r="O10" s="286"/>
      <c r="P10" s="286"/>
    </row>
    <row r="11" spans="1:16" ht="15.75" thickBot="1" x14ac:dyDescent="0.25">
      <c r="A11" s="460"/>
      <c r="B11" s="369" t="s">
        <v>135</v>
      </c>
      <c r="C11" s="306">
        <v>500</v>
      </c>
      <c r="D11" s="370">
        <v>1800</v>
      </c>
      <c r="E11" s="449"/>
      <c r="F11" s="450"/>
      <c r="G11" s="450"/>
      <c r="H11" s="450"/>
      <c r="I11" s="450"/>
      <c r="J11" s="450"/>
      <c r="M11" s="365"/>
      <c r="N11" s="219" t="s">
        <v>454</v>
      </c>
      <c r="O11" s="286"/>
      <c r="P11" s="286"/>
    </row>
    <row r="12" spans="1:16" ht="15.75" thickBot="1" x14ac:dyDescent="0.3">
      <c r="A12"/>
      <c r="B12"/>
      <c r="C12" s="284"/>
      <c r="D12" s="285"/>
      <c r="E12" s="72"/>
      <c r="F12" s="25"/>
      <c r="M12" s="365"/>
      <c r="N12" s="219" t="s">
        <v>455</v>
      </c>
      <c r="O12" s="286"/>
      <c r="P12" s="286"/>
    </row>
    <row r="13" spans="1:16" ht="23.1" customHeight="1" thickBot="1" x14ac:dyDescent="0.4">
      <c r="A13" s="305" t="s">
        <v>416</v>
      </c>
      <c r="B13" s="302"/>
      <c r="C13" s="452"/>
      <c r="D13" s="455" t="str">
        <f>IF(D9&lt;O17,N17,IF(D9&lt;O18,N18,IF(D9&lt;O19,N19,IF(D9&lt;O20,N20,IF(D9&lt;O21,N21,IF(D9&lt;O22,N22,N23))))))</f>
        <v>1,5°C</v>
      </c>
      <c r="E13" s="455"/>
      <c r="F13" s="455"/>
      <c r="G13" s="455"/>
      <c r="M13" s="365"/>
      <c r="N13" s="286"/>
      <c r="O13" s="286"/>
      <c r="P13" s="286"/>
    </row>
    <row r="14" spans="1:16" ht="14.45" customHeight="1" thickBot="1" x14ac:dyDescent="0.25">
      <c r="A14" s="451" t="s">
        <v>423</v>
      </c>
      <c r="B14" s="451"/>
      <c r="C14" s="453"/>
      <c r="D14" s="455"/>
      <c r="E14" s="455"/>
      <c r="F14" s="455"/>
      <c r="G14" s="455"/>
      <c r="M14" s="365"/>
      <c r="N14" s="286"/>
      <c r="O14" s="286"/>
      <c r="P14" s="286"/>
    </row>
    <row r="15" spans="1:16" ht="14.45" customHeight="1" thickBot="1" x14ac:dyDescent="0.25">
      <c r="A15" s="451"/>
      <c r="B15" s="451"/>
      <c r="C15" s="453"/>
      <c r="D15" s="455"/>
      <c r="E15" s="455"/>
      <c r="F15" s="455"/>
      <c r="G15" s="455"/>
      <c r="M15" s="365"/>
      <c r="N15" s="286"/>
      <c r="O15" s="286"/>
      <c r="P15" s="286"/>
    </row>
    <row r="16" spans="1:16" ht="15" customHeight="1" thickBot="1" x14ac:dyDescent="0.25">
      <c r="A16" s="451"/>
      <c r="B16" s="451"/>
      <c r="C16" s="454"/>
      <c r="D16" s="455"/>
      <c r="E16" s="455"/>
      <c r="F16" s="455"/>
      <c r="G16" s="455"/>
      <c r="M16" s="365"/>
      <c r="N16" s="286"/>
      <c r="O16" s="286"/>
      <c r="P16" s="286"/>
    </row>
    <row r="17" spans="1:16" ht="15" x14ac:dyDescent="0.25">
      <c r="A17"/>
      <c r="B17"/>
      <c r="C17" s="284"/>
      <c r="D17" s="285"/>
      <c r="E17" s="72"/>
      <c r="F17" s="25"/>
      <c r="M17" s="365"/>
      <c r="N17" s="297" t="s">
        <v>415</v>
      </c>
      <c r="O17" s="298">
        <v>1833</v>
      </c>
      <c r="P17" s="297" t="s">
        <v>387</v>
      </c>
    </row>
    <row r="18" spans="1:16" ht="15" hidden="1" x14ac:dyDescent="0.25">
      <c r="A18"/>
      <c r="B18"/>
      <c r="C18" s="284"/>
      <c r="D18" s="285"/>
      <c r="E18" s="72"/>
      <c r="F18" s="25"/>
      <c r="M18" s="365"/>
      <c r="N18" s="297" t="s">
        <v>383</v>
      </c>
      <c r="O18" s="298">
        <v>4889</v>
      </c>
      <c r="P18" s="297" t="s">
        <v>387</v>
      </c>
    </row>
    <row r="19" spans="1:16" ht="15" hidden="1" x14ac:dyDescent="0.25">
      <c r="A19"/>
      <c r="B19"/>
      <c r="C19" s="284"/>
      <c r="D19" s="285"/>
      <c r="E19" s="72"/>
      <c r="F19" s="25"/>
      <c r="M19" s="365"/>
      <c r="N19" s="297" t="s">
        <v>417</v>
      </c>
      <c r="O19" s="298">
        <v>6111</v>
      </c>
      <c r="P19" s="297" t="s">
        <v>387</v>
      </c>
    </row>
    <row r="20" spans="1:16" ht="15" hidden="1" x14ac:dyDescent="0.25">
      <c r="A20"/>
      <c r="B20"/>
      <c r="C20" s="284"/>
      <c r="D20" s="285"/>
      <c r="E20" s="72"/>
      <c r="F20" s="25"/>
      <c r="M20" s="365"/>
      <c r="N20" s="297" t="s">
        <v>418</v>
      </c>
      <c r="O20" s="298">
        <v>8963</v>
      </c>
      <c r="P20" s="297" t="s">
        <v>387</v>
      </c>
    </row>
    <row r="21" spans="1:16" ht="15" hidden="1" x14ac:dyDescent="0.25">
      <c r="A21"/>
      <c r="B21"/>
      <c r="C21" s="284"/>
      <c r="D21" s="285"/>
      <c r="E21" s="72"/>
      <c r="F21" s="25"/>
      <c r="M21" s="365"/>
      <c r="N21" s="297" t="s">
        <v>419</v>
      </c>
      <c r="O21" s="298">
        <v>11463</v>
      </c>
      <c r="P21" s="297" t="s">
        <v>387</v>
      </c>
    </row>
    <row r="22" spans="1:16" ht="15" hidden="1" x14ac:dyDescent="0.25">
      <c r="A22"/>
      <c r="B22"/>
      <c r="C22" s="284"/>
      <c r="D22" s="285"/>
      <c r="E22" s="72"/>
      <c r="F22" s="25"/>
      <c r="M22" s="365"/>
      <c r="N22" s="297" t="s">
        <v>420</v>
      </c>
      <c r="O22" s="298">
        <v>13963</v>
      </c>
      <c r="P22" s="297" t="s">
        <v>387</v>
      </c>
    </row>
    <row r="23" spans="1:16" ht="15" hidden="1" x14ac:dyDescent="0.25">
      <c r="A23"/>
      <c r="B23"/>
      <c r="C23" s="284"/>
      <c r="D23" s="285"/>
      <c r="E23" s="72"/>
      <c r="F23" s="25"/>
      <c r="M23" s="365"/>
      <c r="N23" s="297" t="s">
        <v>421</v>
      </c>
      <c r="O23" s="298">
        <v>16463</v>
      </c>
      <c r="P23" s="297" t="s">
        <v>387</v>
      </c>
    </row>
    <row r="24" spans="1:16" ht="15" hidden="1" x14ac:dyDescent="0.25">
      <c r="A24"/>
      <c r="B24"/>
      <c r="C24" s="284"/>
      <c r="D24" s="285"/>
      <c r="E24" s="72"/>
      <c r="F24" s="25"/>
      <c r="M24" s="365"/>
      <c r="N24" s="297" t="s">
        <v>422</v>
      </c>
      <c r="O24" s="298">
        <v>18963</v>
      </c>
      <c r="P24" s="297" t="s">
        <v>387</v>
      </c>
    </row>
    <row r="25" spans="1:16" ht="15" x14ac:dyDescent="0.25">
      <c r="A25"/>
      <c r="B25"/>
      <c r="C25" s="284"/>
      <c r="D25" s="285"/>
      <c r="E25" s="72"/>
      <c r="F25" s="25"/>
      <c r="M25" s="365"/>
      <c r="N25" s="365"/>
      <c r="O25" s="365"/>
      <c r="P25" s="286"/>
    </row>
    <row r="26" spans="1:16" x14ac:dyDescent="0.2">
      <c r="A26" s="456" t="s">
        <v>432</v>
      </c>
      <c r="B26" s="458" t="s">
        <v>424</v>
      </c>
      <c r="C26" s="334"/>
      <c r="D26" s="462" t="s">
        <v>61</v>
      </c>
      <c r="M26" s="365"/>
      <c r="N26" s="365"/>
      <c r="O26" s="365"/>
    </row>
    <row r="27" spans="1:16" x14ac:dyDescent="0.2">
      <c r="A27" s="457"/>
      <c r="B27" s="458"/>
      <c r="C27" s="334"/>
      <c r="D27" s="462"/>
      <c r="N27" s="365"/>
      <c r="O27" s="365"/>
    </row>
    <row r="28" spans="1:16" ht="15" x14ac:dyDescent="0.2">
      <c r="A28" s="457"/>
      <c r="B28" s="458"/>
      <c r="C28" s="335"/>
      <c r="D28" s="462"/>
      <c r="N28" s="365"/>
      <c r="O28" s="365"/>
    </row>
    <row r="29" spans="1:16" ht="15" x14ac:dyDescent="0.2">
      <c r="A29" s="336" t="s">
        <v>1</v>
      </c>
      <c r="B29" s="337">
        <f>D54</f>
        <v>0</v>
      </c>
      <c r="C29" s="338"/>
      <c r="D29" s="339">
        <v>2579</v>
      </c>
      <c r="E29" s="299"/>
      <c r="F29" s="299"/>
      <c r="N29" s="365"/>
      <c r="O29" s="365"/>
    </row>
    <row r="30" spans="1:16" ht="15" x14ac:dyDescent="0.2">
      <c r="A30" s="336" t="s">
        <v>2</v>
      </c>
      <c r="B30" s="337">
        <f>D91</f>
        <v>67.2</v>
      </c>
      <c r="C30" s="338"/>
      <c r="D30" s="339">
        <v>3165</v>
      </c>
      <c r="E30" s="299"/>
      <c r="F30" s="299"/>
      <c r="N30" s="365"/>
      <c r="O30" s="365"/>
    </row>
    <row r="31" spans="1:16" ht="15" x14ac:dyDescent="0.2">
      <c r="A31" s="336" t="s">
        <v>7</v>
      </c>
      <c r="B31" s="337">
        <f>IF(Saisie!B69,D146,D118)</f>
        <v>200</v>
      </c>
      <c r="C31" s="338"/>
      <c r="D31" s="339">
        <v>1789</v>
      </c>
      <c r="E31" s="299"/>
      <c r="F31" s="299"/>
      <c r="N31" s="365"/>
      <c r="O31" s="365"/>
    </row>
    <row r="32" spans="1:16" ht="15" x14ac:dyDescent="0.2">
      <c r="A32" s="336" t="s">
        <v>425</v>
      </c>
      <c r="B32" s="337">
        <f>D157</f>
        <v>0</v>
      </c>
      <c r="C32" s="338"/>
      <c r="D32" s="339">
        <f>1419+739</f>
        <v>2158</v>
      </c>
      <c r="E32" s="299"/>
      <c r="F32" s="299"/>
      <c r="N32" s="365"/>
      <c r="O32" s="365"/>
    </row>
    <row r="33" spans="1:11" ht="15" x14ac:dyDescent="0.2">
      <c r="A33" s="336" t="s">
        <v>426</v>
      </c>
      <c r="B33" s="337">
        <f>D178</f>
        <v>0</v>
      </c>
      <c r="C33" s="338"/>
      <c r="D33" s="339">
        <v>500</v>
      </c>
      <c r="E33" s="299"/>
      <c r="F33" s="299"/>
    </row>
    <row r="34" spans="1:11" ht="15" x14ac:dyDescent="0.2">
      <c r="A34" s="336" t="s">
        <v>41</v>
      </c>
      <c r="B34" s="337">
        <f>D183</f>
        <v>1300</v>
      </c>
      <c r="C34" s="338"/>
      <c r="D34" s="339">
        <v>1113</v>
      </c>
      <c r="E34" s="299"/>
      <c r="F34" s="299"/>
    </row>
    <row r="35" spans="1:11" ht="15" x14ac:dyDescent="0.2">
      <c r="A35" s="340" t="s">
        <v>427</v>
      </c>
      <c r="B35" s="341">
        <f>SUM(B29:B34)</f>
        <v>1567.2</v>
      </c>
      <c r="C35" s="342">
        <f t="shared" ref="C35:D35" si="0">SUM(C29:C34)</f>
        <v>0</v>
      </c>
      <c r="D35" s="343">
        <f t="shared" si="0"/>
        <v>11304</v>
      </c>
    </row>
    <row r="36" spans="1:11" ht="54.6" customHeight="1" x14ac:dyDescent="0.2">
      <c r="B36" s="368"/>
    </row>
    <row r="40" spans="1:11" ht="213" customHeight="1" x14ac:dyDescent="0.2"/>
    <row r="42" spans="1:11" ht="240.6" customHeight="1" x14ac:dyDescent="0.2"/>
    <row r="44" spans="1:11" ht="22.5" x14ac:dyDescent="0.3">
      <c r="A44" s="303" t="s">
        <v>428</v>
      </c>
    </row>
    <row r="45" spans="1:11" ht="23.25" thickBot="1" x14ac:dyDescent="0.35">
      <c r="A45" s="303"/>
    </row>
    <row r="46" spans="1:11" ht="15.6" customHeight="1" x14ac:dyDescent="0.25">
      <c r="A46" s="463" t="s">
        <v>1</v>
      </c>
      <c r="B46" s="434" t="s">
        <v>160</v>
      </c>
      <c r="C46" s="434"/>
      <c r="D46" s="434"/>
      <c r="E46" s="75"/>
      <c r="F46" s="437" t="s">
        <v>440</v>
      </c>
      <c r="G46" s="464"/>
      <c r="H46" s="464"/>
      <c r="I46" s="464"/>
      <c r="J46" s="464"/>
      <c r="K46" s="465"/>
    </row>
    <row r="47" spans="1:11" ht="15" x14ac:dyDescent="0.25">
      <c r="A47" s="463"/>
      <c r="B47" s="312"/>
      <c r="C47" s="308" t="s">
        <v>59</v>
      </c>
      <c r="D47" s="308" t="s">
        <v>60</v>
      </c>
      <c r="E47" s="75"/>
      <c r="F47" s="466"/>
      <c r="G47" s="467"/>
      <c r="H47" s="467"/>
      <c r="I47" s="467"/>
      <c r="J47" s="467"/>
      <c r="K47" s="468"/>
    </row>
    <row r="48" spans="1:11" ht="15" x14ac:dyDescent="0.25">
      <c r="A48" s="463"/>
      <c r="B48" s="312" t="s">
        <v>379</v>
      </c>
      <c r="C48" s="317">
        <f>D48*12/44</f>
        <v>0</v>
      </c>
      <c r="D48" s="317">
        <f>Saisie!H13</f>
        <v>0</v>
      </c>
      <c r="E48" s="75"/>
      <c r="F48" s="466"/>
      <c r="G48" s="467"/>
      <c r="H48" s="467"/>
      <c r="I48" s="467"/>
      <c r="J48" s="467"/>
      <c r="K48" s="468"/>
    </row>
    <row r="49" spans="1:11" ht="15" x14ac:dyDescent="0.25">
      <c r="A49" s="463"/>
      <c r="B49" s="312" t="s">
        <v>16</v>
      </c>
      <c r="C49" s="317">
        <f>Saisie!G15+Saisie!G16</f>
        <v>0</v>
      </c>
      <c r="D49" s="317">
        <f>Saisie!H15+Saisie!H16</f>
        <v>0</v>
      </c>
      <c r="E49" s="75"/>
      <c r="F49" s="466"/>
      <c r="G49" s="467"/>
      <c r="H49" s="467"/>
      <c r="I49" s="467"/>
      <c r="J49" s="467"/>
      <c r="K49" s="468"/>
    </row>
    <row r="50" spans="1:11" ht="15" x14ac:dyDescent="0.25">
      <c r="A50" s="463"/>
      <c r="B50" s="312" t="s">
        <v>307</v>
      </c>
      <c r="C50" s="317">
        <f>Saisie!G18</f>
        <v>0</v>
      </c>
      <c r="D50" s="317">
        <f t="shared" ref="D50:D53" si="1">C50*44/12</f>
        <v>0</v>
      </c>
      <c r="E50" s="75"/>
      <c r="F50" s="466"/>
      <c r="G50" s="467"/>
      <c r="H50" s="467"/>
      <c r="I50" s="467"/>
      <c r="J50" s="467"/>
      <c r="K50" s="468"/>
    </row>
    <row r="51" spans="1:11" ht="15" x14ac:dyDescent="0.25">
      <c r="A51" s="463"/>
      <c r="B51" s="312" t="s">
        <v>17</v>
      </c>
      <c r="C51" s="317">
        <f>Saisie!G21</f>
        <v>0</v>
      </c>
      <c r="D51" s="317">
        <f t="shared" si="1"/>
        <v>0</v>
      </c>
      <c r="E51" s="75"/>
      <c r="F51" s="466"/>
      <c r="G51" s="467"/>
      <c r="H51" s="467"/>
      <c r="I51" s="467"/>
      <c r="J51" s="467"/>
      <c r="K51" s="468"/>
    </row>
    <row r="52" spans="1:11" ht="15" x14ac:dyDescent="0.25">
      <c r="A52" s="463"/>
      <c r="B52" s="312" t="s">
        <v>238</v>
      </c>
      <c r="C52" s="331">
        <f>Saisie!G19</f>
        <v>0</v>
      </c>
      <c r="D52" s="331">
        <f t="shared" si="1"/>
        <v>0</v>
      </c>
      <c r="E52" s="75"/>
      <c r="F52" s="466"/>
      <c r="G52" s="467"/>
      <c r="H52" s="467"/>
      <c r="I52" s="467"/>
      <c r="J52" s="467"/>
      <c r="K52" s="468"/>
    </row>
    <row r="53" spans="1:11" ht="15" x14ac:dyDescent="0.25">
      <c r="A53" s="463"/>
      <c r="B53" s="312" t="s">
        <v>308</v>
      </c>
      <c r="C53" s="331">
        <f>Saisie!G23+Saisie!G24</f>
        <v>0</v>
      </c>
      <c r="D53" s="331">
        <f t="shared" si="1"/>
        <v>0</v>
      </c>
      <c r="E53" s="75"/>
      <c r="F53" s="466"/>
      <c r="G53" s="467"/>
      <c r="H53" s="467"/>
      <c r="I53" s="467"/>
      <c r="J53" s="467"/>
      <c r="K53" s="468"/>
    </row>
    <row r="54" spans="1:11" ht="30" x14ac:dyDescent="0.25">
      <c r="A54" s="463"/>
      <c r="B54" s="332" t="s">
        <v>138</v>
      </c>
      <c r="C54" s="333">
        <f>SUM(C48:C53)</f>
        <v>0</v>
      </c>
      <c r="D54" s="333">
        <f>SUM(D48:D53)</f>
        <v>0</v>
      </c>
      <c r="E54" s="75"/>
      <c r="F54" s="466"/>
      <c r="G54" s="467"/>
      <c r="H54" s="467"/>
      <c r="I54" s="467"/>
      <c r="J54" s="467"/>
      <c r="K54" s="468"/>
    </row>
    <row r="55" spans="1:11" ht="15" x14ac:dyDescent="0.25">
      <c r="A55" s="463"/>
      <c r="B55" s="314" t="s">
        <v>61</v>
      </c>
      <c r="C55" s="320">
        <v>424.36399999999998</v>
      </c>
      <c r="D55" s="321">
        <f>C55*44/12</f>
        <v>1556.0013333333334</v>
      </c>
      <c r="E55" s="75"/>
      <c r="F55" s="466"/>
      <c r="G55" s="467"/>
      <c r="H55" s="467"/>
      <c r="I55" s="467"/>
      <c r="J55" s="467"/>
      <c r="K55" s="468"/>
    </row>
    <row r="56" spans="1:11" ht="16.5" customHeight="1" x14ac:dyDescent="0.2">
      <c r="A56" s="463"/>
      <c r="B56" s="20"/>
      <c r="C56" s="20"/>
      <c r="D56" s="20"/>
      <c r="F56" s="466"/>
      <c r="G56" s="467"/>
      <c r="H56" s="467"/>
      <c r="I56" s="467"/>
      <c r="J56" s="467"/>
      <c r="K56" s="468"/>
    </row>
    <row r="57" spans="1:11" ht="16.5" customHeight="1" x14ac:dyDescent="0.2">
      <c r="A57" s="463"/>
      <c r="B57" s="20"/>
      <c r="C57" s="20"/>
      <c r="D57" s="20"/>
      <c r="F57" s="466"/>
      <c r="G57" s="467"/>
      <c r="H57" s="467"/>
      <c r="I57" s="467"/>
      <c r="J57" s="467"/>
      <c r="K57" s="468"/>
    </row>
    <row r="58" spans="1:11" ht="16.5" customHeight="1" x14ac:dyDescent="0.2">
      <c r="A58" s="463"/>
      <c r="B58" s="20"/>
      <c r="C58" s="20"/>
      <c r="D58" s="20"/>
      <c r="F58" s="466"/>
      <c r="G58" s="467"/>
      <c r="H58" s="467"/>
      <c r="I58" s="467"/>
      <c r="J58" s="467"/>
      <c r="K58" s="468"/>
    </row>
    <row r="59" spans="1:11" ht="16.5" customHeight="1" x14ac:dyDescent="0.2">
      <c r="A59" s="463"/>
      <c r="B59" s="20"/>
      <c r="C59" s="20"/>
      <c r="D59" s="20"/>
      <c r="F59" s="466"/>
      <c r="G59" s="467"/>
      <c r="H59" s="467"/>
      <c r="I59" s="467"/>
      <c r="J59" s="467"/>
      <c r="K59" s="468"/>
    </row>
    <row r="60" spans="1:11" ht="16.5" customHeight="1" x14ac:dyDescent="0.2">
      <c r="A60" s="463"/>
      <c r="B60" s="20"/>
      <c r="C60" s="20"/>
      <c r="D60" s="20"/>
      <c r="F60" s="466"/>
      <c r="G60" s="467"/>
      <c r="H60" s="467"/>
      <c r="I60" s="467"/>
      <c r="J60" s="467"/>
      <c r="K60" s="468"/>
    </row>
    <row r="61" spans="1:11" ht="16.5" customHeight="1" x14ac:dyDescent="0.2">
      <c r="A61" s="463"/>
      <c r="B61" s="20"/>
      <c r="C61" s="20"/>
      <c r="D61" s="20"/>
      <c r="F61" s="466"/>
      <c r="G61" s="467"/>
      <c r="H61" s="467"/>
      <c r="I61" s="467"/>
      <c r="J61" s="467"/>
      <c r="K61" s="468"/>
    </row>
    <row r="62" spans="1:11" ht="16.5" customHeight="1" x14ac:dyDescent="0.2">
      <c r="A62" s="463"/>
      <c r="B62" s="20"/>
      <c r="C62" s="20"/>
      <c r="D62" s="20"/>
      <c r="F62" s="466"/>
      <c r="G62" s="467"/>
      <c r="H62" s="467"/>
      <c r="I62" s="467"/>
      <c r="J62" s="467"/>
      <c r="K62" s="468"/>
    </row>
    <row r="63" spans="1:11" ht="47.45" customHeight="1" thickBot="1" x14ac:dyDescent="0.25">
      <c r="A63" s="463"/>
      <c r="B63" s="20"/>
      <c r="C63" s="20"/>
      <c r="D63" s="20"/>
      <c r="F63" s="469"/>
      <c r="G63" s="470"/>
      <c r="H63" s="470"/>
      <c r="I63" s="470"/>
      <c r="J63" s="470"/>
      <c r="K63" s="471"/>
    </row>
    <row r="64" spans="1:11" ht="16.5" customHeight="1" thickBot="1" x14ac:dyDescent="0.25">
      <c r="A64" s="463"/>
      <c r="B64" s="20"/>
      <c r="C64" s="20"/>
      <c r="D64" s="20"/>
      <c r="F64"/>
      <c r="G64"/>
      <c r="H64"/>
      <c r="I64"/>
      <c r="J64"/>
      <c r="K64"/>
    </row>
    <row r="65" spans="1:11" ht="15.75" thickBot="1" x14ac:dyDescent="0.3">
      <c r="A65" s="463"/>
      <c r="B65" s="461" t="s">
        <v>58</v>
      </c>
      <c r="C65" s="259" t="s">
        <v>56</v>
      </c>
      <c r="D65" s="329">
        <f>IFERROR(((Saisie!B15+Saisie!B16)*2.58+Saisie!B18+Saisie!B19+Saisie!B20+Saisie!B21+Saisie!B23+Saisie!B24)/Saisie!B13,)</f>
        <v>0</v>
      </c>
      <c r="E65" s="75"/>
      <c r="F65" s="437" t="s">
        <v>190</v>
      </c>
      <c r="G65" s="438"/>
      <c r="H65" s="438"/>
      <c r="I65" s="438"/>
      <c r="J65" s="438"/>
      <c r="K65" s="439"/>
    </row>
    <row r="66" spans="1:11" ht="15" x14ac:dyDescent="0.25">
      <c r="A66" s="463"/>
      <c r="B66" s="461"/>
      <c r="C66" s="99" t="s">
        <v>55</v>
      </c>
      <c r="D66" s="330" t="str">
        <f>IF(D65&lt;15,"A+",IF(AND(D65&gt;=15,D65&lt;51),"A",IF(AND(D65&gt;=51,D65&lt;91),"B",IF(AND(D65&gt;=91,D65&lt;151),"C",IF(AND(D65&gt;=151,D65&lt;231),"D",IF(AND(D65&gt;=231,D65&lt;331),"E",IF(AND(D65&gt;=331,D65&lt;451),"F",IF(D65&gt;=451,"G"))))))))</f>
        <v>A+</v>
      </c>
      <c r="E66" s="75"/>
      <c r="F66" s="440"/>
      <c r="G66" s="441"/>
      <c r="H66" s="441"/>
      <c r="I66" s="441"/>
      <c r="J66" s="441"/>
      <c r="K66" s="442"/>
    </row>
    <row r="67" spans="1:11" ht="15" x14ac:dyDescent="0.25">
      <c r="A67" s="463"/>
      <c r="B67" s="475" t="s">
        <v>309</v>
      </c>
      <c r="C67" s="220" t="s">
        <v>57</v>
      </c>
      <c r="D67" s="329">
        <f>IFERROR(SUM(Saisie!H15:H129)/Saisie!B13,)</f>
        <v>0</v>
      </c>
      <c r="E67" s="75"/>
      <c r="F67" s="440"/>
      <c r="G67" s="441"/>
      <c r="H67" s="441"/>
      <c r="I67" s="441"/>
      <c r="J67" s="441"/>
      <c r="K67" s="442"/>
    </row>
    <row r="68" spans="1:11" ht="15.75" thickBot="1" x14ac:dyDescent="0.3">
      <c r="A68" s="463"/>
      <c r="B68" s="476"/>
      <c r="C68" s="103" t="s">
        <v>55</v>
      </c>
      <c r="D68" s="330" t="str">
        <f>IF(D67&lt;=5,"A",IF(AND(D67&gt;5,D67&lt;=10),"B",IF(AND(D67&gt;10,D67&lt;=20),"C",IF(AND(D67&gt;20,D67&lt;=35),"D",IF(AND(D67&gt;35,D67&lt;=55),"E",IF(AND(D67&gt;55,D67&lt;=80),"F",IF(D67&gt;80,"G")))))))</f>
        <v>A</v>
      </c>
      <c r="E68" s="75"/>
      <c r="F68" s="443"/>
      <c r="G68" s="444"/>
      <c r="H68" s="444"/>
      <c r="I68" s="444"/>
      <c r="J68" s="444"/>
      <c r="K68" s="445"/>
    </row>
    <row r="69" spans="1:11" ht="16.5" customHeight="1" thickBot="1" x14ac:dyDescent="0.25">
      <c r="A69" s="463"/>
      <c r="B69" s="98"/>
      <c r="C69" s="98"/>
      <c r="D69" s="98"/>
    </row>
    <row r="70" spans="1:11" ht="16.5" customHeight="1" x14ac:dyDescent="0.2">
      <c r="A70" s="463"/>
      <c r="B70" s="34"/>
      <c r="C70" s="34"/>
      <c r="D70" s="34"/>
      <c r="F70" s="446" t="s">
        <v>189</v>
      </c>
      <c r="G70" s="438"/>
      <c r="H70" s="438"/>
      <c r="I70" s="438"/>
      <c r="J70" s="438"/>
      <c r="K70" s="439"/>
    </row>
    <row r="71" spans="1:11" ht="16.5" customHeight="1" x14ac:dyDescent="0.2">
      <c r="A71" s="463"/>
      <c r="B71" s="34"/>
      <c r="C71" s="34"/>
      <c r="D71" s="34"/>
      <c r="F71" s="440"/>
      <c r="G71" s="441"/>
      <c r="H71" s="441"/>
      <c r="I71" s="441"/>
      <c r="J71" s="441"/>
      <c r="K71" s="442"/>
    </row>
    <row r="72" spans="1:11" ht="16.5" customHeight="1" x14ac:dyDescent="0.2">
      <c r="A72" s="463"/>
      <c r="B72" s="34"/>
      <c r="C72" s="34"/>
      <c r="D72" s="34"/>
      <c r="F72" s="440"/>
      <c r="G72" s="441"/>
      <c r="H72" s="441"/>
      <c r="I72" s="441"/>
      <c r="J72" s="441"/>
      <c r="K72" s="442"/>
    </row>
    <row r="73" spans="1:11" ht="16.5" customHeight="1" x14ac:dyDescent="0.2">
      <c r="A73" s="463"/>
      <c r="B73" s="34"/>
      <c r="C73" s="34"/>
      <c r="D73" s="34"/>
      <c r="F73" s="440"/>
      <c r="G73" s="441"/>
      <c r="H73" s="441"/>
      <c r="I73" s="441"/>
      <c r="J73" s="441"/>
      <c r="K73" s="442"/>
    </row>
    <row r="74" spans="1:11" ht="16.5" customHeight="1" x14ac:dyDescent="0.2">
      <c r="A74" s="463"/>
      <c r="B74" s="34"/>
      <c r="C74" s="34"/>
      <c r="D74" s="34"/>
      <c r="F74" s="440"/>
      <c r="G74" s="441"/>
      <c r="H74" s="441"/>
      <c r="I74" s="441"/>
      <c r="J74" s="441"/>
      <c r="K74" s="442"/>
    </row>
    <row r="75" spans="1:11" ht="16.5" customHeight="1" x14ac:dyDescent="0.2">
      <c r="A75" s="463"/>
      <c r="B75" s="34"/>
      <c r="C75" s="34"/>
      <c r="D75" s="34"/>
      <c r="F75" s="440"/>
      <c r="G75" s="441"/>
      <c r="H75" s="441"/>
      <c r="I75" s="441"/>
      <c r="J75" s="441"/>
      <c r="K75" s="442"/>
    </row>
    <row r="76" spans="1:11" ht="16.5" customHeight="1" x14ac:dyDescent="0.2">
      <c r="A76" s="463"/>
      <c r="B76" s="34"/>
      <c r="C76" s="34"/>
      <c r="D76" s="34"/>
      <c r="F76" s="440"/>
      <c r="G76" s="441"/>
      <c r="H76" s="441"/>
      <c r="I76" s="441"/>
      <c r="J76" s="441"/>
      <c r="K76" s="442"/>
    </row>
    <row r="77" spans="1:11" ht="16.5" customHeight="1" x14ac:dyDescent="0.2">
      <c r="A77" s="463"/>
      <c r="B77" s="34"/>
      <c r="C77" s="34"/>
      <c r="D77" s="34"/>
      <c r="F77" s="440"/>
      <c r="G77" s="441"/>
      <c r="H77" s="441"/>
      <c r="I77" s="441"/>
      <c r="J77" s="441"/>
      <c r="K77" s="442"/>
    </row>
    <row r="78" spans="1:11" ht="16.5" customHeight="1" x14ac:dyDescent="0.2">
      <c r="A78" s="463"/>
      <c r="B78" s="34"/>
      <c r="C78" s="34"/>
      <c r="D78" s="34"/>
      <c r="F78" s="440"/>
      <c r="G78" s="441"/>
      <c r="H78" s="441"/>
      <c r="I78" s="441"/>
      <c r="J78" s="441"/>
      <c r="K78" s="442"/>
    </row>
    <row r="79" spans="1:11" ht="16.5" customHeight="1" thickBot="1" x14ac:dyDescent="0.25">
      <c r="A79" s="463"/>
      <c r="B79" s="34"/>
      <c r="C79" s="34"/>
      <c r="D79" s="34"/>
      <c r="F79" s="443"/>
      <c r="G79" s="444"/>
      <c r="H79" s="444"/>
      <c r="I79" s="444"/>
      <c r="J79" s="444"/>
      <c r="K79" s="445"/>
    </row>
    <row r="80" spans="1:11" s="18" customFormat="1" ht="36.6" customHeight="1" thickBot="1" x14ac:dyDescent="0.3">
      <c r="A80" s="70"/>
      <c r="B80" s="70"/>
      <c r="C80" s="71"/>
      <c r="D80" s="70"/>
      <c r="E80" s="75"/>
    </row>
    <row r="81" spans="1:14" ht="15.6" customHeight="1" thickBot="1" x14ac:dyDescent="0.3">
      <c r="A81" s="473" t="s">
        <v>2</v>
      </c>
      <c r="B81" s="435" t="s">
        <v>161</v>
      </c>
      <c r="C81" s="435"/>
      <c r="D81" s="436"/>
      <c r="E81" s="75"/>
      <c r="F81" s="447" t="s">
        <v>441</v>
      </c>
      <c r="G81" s="448"/>
      <c r="H81" s="448"/>
      <c r="I81" s="448"/>
      <c r="J81" s="448"/>
      <c r="K81" s="448"/>
    </row>
    <row r="82" spans="1:14" ht="15.6" customHeight="1" thickBot="1" x14ac:dyDescent="0.3">
      <c r="A82" s="473"/>
      <c r="B82" s="85"/>
      <c r="C82" s="85" t="s">
        <v>59</v>
      </c>
      <c r="D82" s="85" t="s">
        <v>60</v>
      </c>
      <c r="E82" s="75"/>
      <c r="F82" s="448"/>
      <c r="G82" s="448"/>
      <c r="H82" s="448"/>
      <c r="I82" s="448"/>
      <c r="J82" s="448"/>
      <c r="K82" s="448"/>
    </row>
    <row r="83" spans="1:14" ht="15.6" customHeight="1" thickBot="1" x14ac:dyDescent="0.3">
      <c r="A83" s="473"/>
      <c r="B83" s="81" t="s">
        <v>310</v>
      </c>
      <c r="C83" s="101">
        <f>Saisie!G31</f>
        <v>0</v>
      </c>
      <c r="D83" s="325">
        <f>C83*44/12</f>
        <v>0</v>
      </c>
      <c r="E83" s="75"/>
      <c r="F83" s="448"/>
      <c r="G83" s="448"/>
      <c r="H83" s="448"/>
      <c r="I83" s="448"/>
      <c r="J83" s="448"/>
      <c r="K83" s="448"/>
    </row>
    <row r="84" spans="1:14" ht="15.6" customHeight="1" thickBot="1" x14ac:dyDescent="0.3">
      <c r="A84" s="473"/>
      <c r="B84" s="81" t="s">
        <v>380</v>
      </c>
      <c r="C84" s="82">
        <f>Saisie!G39</f>
        <v>0</v>
      </c>
      <c r="D84" s="326">
        <f t="shared" ref="D84:D90" si="2">C84*44/12</f>
        <v>0</v>
      </c>
      <c r="E84" s="75"/>
      <c r="F84" s="448"/>
      <c r="G84" s="448"/>
      <c r="H84" s="448"/>
      <c r="I84" s="448"/>
      <c r="J84" s="448"/>
      <c r="K84" s="448"/>
    </row>
    <row r="85" spans="1:14" ht="15.6" customHeight="1" thickBot="1" x14ac:dyDescent="0.3">
      <c r="A85" s="473"/>
      <c r="B85" s="81" t="s">
        <v>288</v>
      </c>
      <c r="C85" s="82">
        <f>Saisie!G35</f>
        <v>0</v>
      </c>
      <c r="D85" s="326">
        <f t="shared" si="2"/>
        <v>0</v>
      </c>
      <c r="E85" s="75"/>
      <c r="F85" s="448"/>
      <c r="G85" s="448"/>
      <c r="H85" s="448"/>
      <c r="I85" s="448"/>
      <c r="J85" s="448"/>
      <c r="K85" s="448"/>
      <c r="N85" s="7">
        <f>44/12</f>
        <v>3.6666666666666665</v>
      </c>
    </row>
    <row r="86" spans="1:14" ht="15.6" customHeight="1" thickBot="1" x14ac:dyDescent="0.3">
      <c r="A86" s="304"/>
      <c r="B86" s="83" t="s">
        <v>72</v>
      </c>
      <c r="C86" s="84">
        <f>Saisie!G44</f>
        <v>0</v>
      </c>
      <c r="D86" s="327">
        <f t="shared" si="2"/>
        <v>0</v>
      </c>
      <c r="E86" s="75"/>
      <c r="F86" s="448"/>
      <c r="G86" s="448"/>
      <c r="H86" s="448"/>
      <c r="I86" s="448"/>
      <c r="J86" s="448"/>
      <c r="K86" s="448"/>
    </row>
    <row r="87" spans="1:14" ht="15.6" customHeight="1" thickBot="1" x14ac:dyDescent="0.3">
      <c r="A87" s="304"/>
      <c r="B87" s="81" t="s">
        <v>18</v>
      </c>
      <c r="C87" s="82">
        <f>Saisie!G47</f>
        <v>0</v>
      </c>
      <c r="D87" s="326">
        <f t="shared" si="2"/>
        <v>0</v>
      </c>
      <c r="E87" s="75"/>
      <c r="F87" s="448"/>
      <c r="G87" s="448"/>
      <c r="H87" s="448"/>
      <c r="I87" s="448"/>
      <c r="J87" s="448"/>
      <c r="K87" s="448"/>
    </row>
    <row r="88" spans="1:14" ht="15.6" customHeight="1" thickBot="1" x14ac:dyDescent="0.3">
      <c r="A88" s="304"/>
      <c r="B88" s="81" t="s">
        <v>62</v>
      </c>
      <c r="C88" s="82">
        <f>Saisie!G49</f>
        <v>18.327272727272728</v>
      </c>
      <c r="D88" s="326">
        <f t="shared" si="2"/>
        <v>67.2</v>
      </c>
      <c r="E88" s="75"/>
      <c r="F88" s="448"/>
      <c r="G88" s="448"/>
      <c r="H88" s="448"/>
      <c r="I88" s="448"/>
      <c r="J88" s="448"/>
      <c r="K88" s="448"/>
    </row>
    <row r="89" spans="1:14" ht="15.6" customHeight="1" thickBot="1" x14ac:dyDescent="0.3">
      <c r="A89" s="304"/>
      <c r="B89" s="81" t="s">
        <v>19</v>
      </c>
      <c r="C89" s="82">
        <f>Saisie!G51</f>
        <v>0</v>
      </c>
      <c r="D89" s="326">
        <f t="shared" si="2"/>
        <v>0</v>
      </c>
      <c r="E89" s="75"/>
      <c r="F89" s="448"/>
      <c r="G89" s="448"/>
      <c r="H89" s="448"/>
      <c r="I89" s="448"/>
      <c r="J89" s="448"/>
      <c r="K89" s="448"/>
    </row>
    <row r="90" spans="1:14" ht="15.6" customHeight="1" thickBot="1" x14ac:dyDescent="0.3">
      <c r="A90" s="304"/>
      <c r="B90" s="80" t="s">
        <v>20</v>
      </c>
      <c r="C90" s="79">
        <f>Saisie!G52</f>
        <v>0</v>
      </c>
      <c r="D90" s="328">
        <f t="shared" si="2"/>
        <v>0</v>
      </c>
      <c r="E90" s="75"/>
      <c r="F90" s="448"/>
      <c r="G90" s="448"/>
      <c r="H90" s="448"/>
      <c r="I90" s="448"/>
      <c r="J90" s="448"/>
      <c r="K90" s="448"/>
    </row>
    <row r="91" spans="1:14" ht="15.6" customHeight="1" thickBot="1" x14ac:dyDescent="0.3">
      <c r="A91" s="304"/>
      <c r="B91" s="86" t="s">
        <v>21</v>
      </c>
      <c r="C91" s="100">
        <f>SUM(C$83:C$90)</f>
        <v>18.327272727272728</v>
      </c>
      <c r="D91" s="100">
        <f>C91*44/12</f>
        <v>67.2</v>
      </c>
      <c r="E91" s="75"/>
      <c r="F91" s="448"/>
      <c r="G91" s="448"/>
      <c r="H91" s="448"/>
      <c r="I91" s="448"/>
      <c r="J91" s="448"/>
      <c r="K91" s="448"/>
    </row>
    <row r="92" spans="1:14" ht="15.6" customHeight="1" thickBot="1" x14ac:dyDescent="0.3">
      <c r="A92" s="304"/>
      <c r="B92" s="86" t="s">
        <v>61</v>
      </c>
      <c r="C92" s="104">
        <v>501.27300000000002</v>
      </c>
      <c r="D92" s="107">
        <f>C92*44/12</f>
        <v>1838.0010000000002</v>
      </c>
      <c r="E92" s="75"/>
      <c r="F92" s="448"/>
      <c r="G92" s="448"/>
      <c r="H92" s="448"/>
      <c r="I92" s="448"/>
      <c r="J92" s="448"/>
      <c r="K92" s="448"/>
    </row>
    <row r="93" spans="1:14" ht="12.75" customHeight="1" x14ac:dyDescent="0.25">
      <c r="A93" s="304"/>
      <c r="B93" s="88"/>
      <c r="C93" s="89"/>
      <c r="D93" s="90"/>
      <c r="E93" s="75"/>
    </row>
    <row r="94" spans="1:14" ht="12.75" customHeight="1" x14ac:dyDescent="0.25">
      <c r="A94" s="304"/>
      <c r="B94" s="27"/>
      <c r="C94" s="28"/>
      <c r="D94" s="29"/>
      <c r="E94" s="75"/>
    </row>
    <row r="95" spans="1:14" ht="12.75" customHeight="1" x14ac:dyDescent="0.25">
      <c r="A95" s="304"/>
      <c r="B95" s="27"/>
      <c r="C95" s="28"/>
      <c r="D95" s="29"/>
    </row>
    <row r="96" spans="1:14" ht="12.75" customHeight="1" x14ac:dyDescent="0.25">
      <c r="A96" s="304"/>
      <c r="B96" s="27"/>
      <c r="C96" s="28"/>
      <c r="D96" s="29"/>
    </row>
    <row r="97" spans="1:4" ht="12.75" customHeight="1" x14ac:dyDescent="0.25">
      <c r="A97" s="304"/>
      <c r="B97" s="27"/>
      <c r="C97" s="28"/>
      <c r="D97" s="29"/>
    </row>
    <row r="98" spans="1:4" ht="12.75" customHeight="1" x14ac:dyDescent="0.25">
      <c r="A98" s="304"/>
      <c r="B98" s="27"/>
      <c r="C98" s="28"/>
      <c r="D98" s="29"/>
    </row>
    <row r="99" spans="1:4" ht="12.75" customHeight="1" x14ac:dyDescent="0.25">
      <c r="A99" s="304"/>
      <c r="B99" s="27"/>
      <c r="C99" s="28"/>
      <c r="D99" s="29"/>
    </row>
    <row r="100" spans="1:4" ht="29.1" customHeight="1" x14ac:dyDescent="0.25">
      <c r="A100" s="304"/>
      <c r="B100" s="27"/>
      <c r="C100" s="28"/>
      <c r="D100" s="29"/>
    </row>
    <row r="101" spans="1:4" ht="12.75" customHeight="1" x14ac:dyDescent="0.25">
      <c r="A101" s="304"/>
      <c r="B101" s="27"/>
      <c r="C101" s="28"/>
      <c r="D101" s="29"/>
    </row>
    <row r="102" spans="1:4" ht="12.75" customHeight="1" x14ac:dyDescent="0.25">
      <c r="A102" s="304"/>
      <c r="B102" s="27"/>
      <c r="C102" s="28"/>
      <c r="D102" s="29"/>
    </row>
    <row r="103" spans="1:4" ht="12.75" customHeight="1" x14ac:dyDescent="0.25">
      <c r="A103" s="304"/>
      <c r="B103" s="27"/>
      <c r="C103" s="28"/>
      <c r="D103" s="29"/>
    </row>
    <row r="104" spans="1:4" ht="12.75" customHeight="1" x14ac:dyDescent="0.25">
      <c r="A104" s="304"/>
      <c r="B104" s="27"/>
      <c r="C104" s="28"/>
      <c r="D104" s="29"/>
    </row>
    <row r="105" spans="1:4" ht="12.75" customHeight="1" x14ac:dyDescent="0.25">
      <c r="A105" s="304"/>
      <c r="B105" s="27"/>
      <c r="C105" s="28"/>
      <c r="D105" s="29"/>
    </row>
    <row r="106" spans="1:4" ht="12.75" customHeight="1" x14ac:dyDescent="0.25">
      <c r="A106" s="304"/>
      <c r="B106" s="27"/>
      <c r="C106" s="28"/>
      <c r="D106" s="29"/>
    </row>
    <row r="107" spans="1:4" ht="12.75" customHeight="1" x14ac:dyDescent="0.25">
      <c r="A107" s="304"/>
      <c r="B107" s="27"/>
      <c r="C107" s="28"/>
      <c r="D107" s="29"/>
    </row>
    <row r="108" spans="1:4" ht="12.75" customHeight="1" x14ac:dyDescent="0.25">
      <c r="A108"/>
      <c r="B108" s="27"/>
      <c r="C108" s="28"/>
      <c r="D108" s="29"/>
    </row>
    <row r="109" spans="1:4" ht="12.75" customHeight="1" x14ac:dyDescent="0.2">
      <c r="A109" s="474" t="s">
        <v>433</v>
      </c>
      <c r="B109" s="435" t="s">
        <v>292</v>
      </c>
      <c r="C109" s="435"/>
      <c r="D109" s="436"/>
    </row>
    <row r="110" spans="1:4" ht="15" x14ac:dyDescent="0.2">
      <c r="A110" s="474"/>
      <c r="B110" s="260"/>
      <c r="C110" s="260" t="s">
        <v>59</v>
      </c>
      <c r="D110" s="260" t="s">
        <v>60</v>
      </c>
    </row>
    <row r="111" spans="1:4" ht="15.75" x14ac:dyDescent="0.25">
      <c r="A111" s="474"/>
      <c r="B111" s="261" t="s">
        <v>429</v>
      </c>
      <c r="C111" s="262">
        <f>Saisie!G57</f>
        <v>0</v>
      </c>
      <c r="D111" s="322">
        <f>C111*44/12</f>
        <v>0</v>
      </c>
    </row>
    <row r="112" spans="1:4" ht="15.75" x14ac:dyDescent="0.25">
      <c r="A112" s="474"/>
      <c r="B112" s="261" t="s">
        <v>430</v>
      </c>
      <c r="C112" s="262">
        <f>Saisie!G58</f>
        <v>0</v>
      </c>
      <c r="D112" s="322">
        <f t="shared" ref="D112:D113" si="3">C112*44/12</f>
        <v>0</v>
      </c>
    </row>
    <row r="113" spans="1:11" ht="12.75" customHeight="1" x14ac:dyDescent="0.25">
      <c r="A113" s="474"/>
      <c r="B113" s="261" t="s">
        <v>431</v>
      </c>
      <c r="C113" s="262">
        <f>Saisie!G59</f>
        <v>0</v>
      </c>
      <c r="D113" s="322">
        <f t="shared" si="3"/>
        <v>0</v>
      </c>
    </row>
    <row r="114" spans="1:11" ht="22.5" x14ac:dyDescent="0.2">
      <c r="A114" s="304"/>
      <c r="B114" s="435" t="s">
        <v>299</v>
      </c>
      <c r="C114" s="435"/>
      <c r="D114" s="436"/>
    </row>
    <row r="115" spans="1:11" ht="22.5" x14ac:dyDescent="0.25">
      <c r="A115" s="304"/>
      <c r="B115" s="261" t="s">
        <v>299</v>
      </c>
      <c r="C115" s="263">
        <f>Saisie!G61+Saisie!G62+Saisie!G64</f>
        <v>0</v>
      </c>
      <c r="D115" s="324">
        <f>C115*44/12</f>
        <v>0</v>
      </c>
    </row>
    <row r="116" spans="1:11" ht="22.5" x14ac:dyDescent="0.2">
      <c r="A116" s="304"/>
      <c r="B116" s="435" t="s">
        <v>296</v>
      </c>
      <c r="C116" s="435"/>
      <c r="D116" s="436"/>
    </row>
    <row r="117" spans="1:11" ht="22.5" x14ac:dyDescent="0.25">
      <c r="A117" s="304"/>
      <c r="B117" s="261" t="s">
        <v>296</v>
      </c>
      <c r="C117" s="263">
        <f>Saisie!G66</f>
        <v>54.545454545454547</v>
      </c>
      <c r="D117" s="323">
        <f>C117*44/12</f>
        <v>200</v>
      </c>
    </row>
    <row r="118" spans="1:11" ht="22.5" x14ac:dyDescent="0.2">
      <c r="A118" s="304"/>
      <c r="B118" s="22" t="s">
        <v>25</v>
      </c>
      <c r="C118" s="21">
        <f>C117+C111+C112+C113+C115</f>
        <v>54.545454545454547</v>
      </c>
      <c r="D118" s="21">
        <f t="shared" ref="D118" si="4">C118*44/12</f>
        <v>200</v>
      </c>
    </row>
    <row r="119" spans="1:11" ht="22.5" x14ac:dyDescent="0.2">
      <c r="A119" s="304"/>
      <c r="B119" s="22" t="s">
        <v>61</v>
      </c>
      <c r="C119" s="108">
        <f>D119*12/44</f>
        <v>487.90909090909093</v>
      </c>
      <c r="D119" s="109">
        <f>D31</f>
        <v>1789</v>
      </c>
    </row>
    <row r="120" spans="1:11" s="8" customFormat="1" ht="12.75" customHeight="1" thickBot="1" x14ac:dyDescent="0.3">
      <c r="A120" s="30"/>
      <c r="B120" s="27"/>
      <c r="C120" s="28"/>
      <c r="D120" s="29"/>
    </row>
    <row r="121" spans="1:11" ht="15.75" thickBot="1" x14ac:dyDescent="0.3">
      <c r="A121" s="472" t="s">
        <v>434</v>
      </c>
      <c r="B121" s="435" t="s">
        <v>162</v>
      </c>
      <c r="C121" s="435"/>
      <c r="D121" s="436"/>
      <c r="E121" s="75"/>
      <c r="F121" s="447" t="s">
        <v>442</v>
      </c>
      <c r="G121" s="448"/>
      <c r="H121" s="448"/>
      <c r="I121" s="448"/>
      <c r="J121" s="448"/>
      <c r="K121" s="448"/>
    </row>
    <row r="122" spans="1:11" ht="15.75" customHeight="1" thickBot="1" x14ac:dyDescent="0.3">
      <c r="A122" s="463"/>
      <c r="B122" s="308"/>
      <c r="C122" s="308" t="s">
        <v>59</v>
      </c>
      <c r="D122" s="308" t="s">
        <v>60</v>
      </c>
      <c r="E122" s="75"/>
      <c r="F122" s="448"/>
      <c r="G122" s="448"/>
      <c r="H122" s="448"/>
      <c r="I122" s="448"/>
      <c r="J122" s="448"/>
      <c r="K122" s="448"/>
    </row>
    <row r="123" spans="1:11" ht="15.75" customHeight="1" thickBot="1" x14ac:dyDescent="0.3">
      <c r="A123" s="463"/>
      <c r="B123" s="313" t="s">
        <v>8</v>
      </c>
      <c r="C123" s="310">
        <f>Saisie!G71</f>
        <v>0</v>
      </c>
      <c r="D123" s="310">
        <f>C123*44/12</f>
        <v>0</v>
      </c>
      <c r="E123" s="75"/>
      <c r="F123" s="448"/>
      <c r="G123" s="448"/>
      <c r="H123" s="448"/>
      <c r="I123" s="448"/>
      <c r="J123" s="448"/>
      <c r="K123" s="448"/>
    </row>
    <row r="124" spans="1:11" ht="15.75" customHeight="1" thickBot="1" x14ac:dyDescent="0.3">
      <c r="A124" s="463"/>
      <c r="B124" s="313" t="s">
        <v>9</v>
      </c>
      <c r="C124" s="310">
        <f>Saisie!G72</f>
        <v>0</v>
      </c>
      <c r="D124" s="310">
        <f t="shared" ref="D124:D146" si="5">C124*44/12</f>
        <v>0</v>
      </c>
      <c r="E124" s="75"/>
      <c r="F124" s="448"/>
      <c r="G124" s="448"/>
      <c r="H124" s="448"/>
      <c r="I124" s="448"/>
      <c r="J124" s="448"/>
      <c r="K124" s="448"/>
    </row>
    <row r="125" spans="1:11" ht="15.75" customHeight="1" thickBot="1" x14ac:dyDescent="0.3">
      <c r="A125" s="463"/>
      <c r="B125" s="313" t="s">
        <v>51</v>
      </c>
      <c r="C125" s="310">
        <f>Saisie!G73</f>
        <v>0</v>
      </c>
      <c r="D125" s="310">
        <f t="shared" si="5"/>
        <v>0</v>
      </c>
      <c r="E125" s="75"/>
      <c r="F125" s="448"/>
      <c r="G125" s="448"/>
      <c r="H125" s="448"/>
      <c r="I125" s="448"/>
      <c r="J125" s="448"/>
      <c r="K125" s="448"/>
    </row>
    <row r="126" spans="1:11" ht="15.75" customHeight="1" thickBot="1" x14ac:dyDescent="0.3">
      <c r="A126" s="463"/>
      <c r="B126" s="313" t="s">
        <v>10</v>
      </c>
      <c r="C126" s="310">
        <f>Saisie!G74</f>
        <v>0</v>
      </c>
      <c r="D126" s="310">
        <f t="shared" si="5"/>
        <v>0</v>
      </c>
      <c r="E126" s="75"/>
      <c r="F126" s="448"/>
      <c r="G126" s="448"/>
      <c r="H126" s="448"/>
      <c r="I126" s="448"/>
      <c r="J126" s="448"/>
      <c r="K126" s="448"/>
    </row>
    <row r="127" spans="1:11" ht="15.75" customHeight="1" thickBot="1" x14ac:dyDescent="0.3">
      <c r="A127" s="463"/>
      <c r="B127" s="314" t="s">
        <v>188</v>
      </c>
      <c r="C127" s="315">
        <f>SUM(C123:C126)</f>
        <v>0</v>
      </c>
      <c r="D127" s="315">
        <f t="shared" si="5"/>
        <v>0</v>
      </c>
      <c r="E127" s="75"/>
      <c r="F127" s="448"/>
      <c r="G127" s="448"/>
      <c r="H127" s="448"/>
      <c r="I127" s="448"/>
      <c r="J127" s="448"/>
      <c r="K127" s="448"/>
    </row>
    <row r="128" spans="1:11" ht="15.75" customHeight="1" thickBot="1" x14ac:dyDescent="0.3">
      <c r="A128" s="463"/>
      <c r="B128" s="313" t="s">
        <v>11</v>
      </c>
      <c r="C128" s="310">
        <f>Saisie!G76</f>
        <v>0</v>
      </c>
      <c r="D128" s="310">
        <f t="shared" si="5"/>
        <v>0</v>
      </c>
      <c r="E128" s="75"/>
      <c r="F128" s="448"/>
      <c r="G128" s="448"/>
      <c r="H128" s="448"/>
      <c r="I128" s="448"/>
      <c r="J128" s="448"/>
      <c r="K128" s="448"/>
    </row>
    <row r="129" spans="1:11" ht="15.75" customHeight="1" thickBot="1" x14ac:dyDescent="0.3">
      <c r="A129" s="463"/>
      <c r="B129" s="316" t="s">
        <v>359</v>
      </c>
      <c r="C129" s="310" t="e">
        <f>Saisie!G77</f>
        <v>#N/A</v>
      </c>
      <c r="D129" s="310" t="e">
        <f t="shared" si="5"/>
        <v>#N/A</v>
      </c>
      <c r="E129" s="75"/>
      <c r="F129" s="448"/>
      <c r="G129" s="448"/>
      <c r="H129" s="448"/>
      <c r="I129" s="448"/>
      <c r="J129" s="448"/>
      <c r="K129" s="448"/>
    </row>
    <row r="130" spans="1:11" ht="15.75" customHeight="1" thickBot="1" x14ac:dyDescent="0.3">
      <c r="A130" s="463"/>
      <c r="B130" s="313" t="s">
        <v>13</v>
      </c>
      <c r="C130" s="310">
        <f>Saisie!G78</f>
        <v>0</v>
      </c>
      <c r="D130" s="310">
        <f t="shared" si="5"/>
        <v>0</v>
      </c>
      <c r="E130" s="75"/>
      <c r="F130" s="448"/>
      <c r="G130" s="448"/>
      <c r="H130" s="448"/>
      <c r="I130" s="448"/>
      <c r="J130" s="448"/>
      <c r="K130" s="448"/>
    </row>
    <row r="131" spans="1:11" ht="15.75" customHeight="1" thickBot="1" x14ac:dyDescent="0.3">
      <c r="A131" s="463"/>
      <c r="B131" s="314" t="s">
        <v>23</v>
      </c>
      <c r="C131" s="315" t="e">
        <f>SUM(C128:C130)</f>
        <v>#N/A</v>
      </c>
      <c r="D131" s="315" t="e">
        <f t="shared" si="5"/>
        <v>#N/A</v>
      </c>
      <c r="E131" s="75"/>
      <c r="F131" s="448"/>
      <c r="G131" s="448"/>
      <c r="H131" s="448"/>
      <c r="I131" s="448"/>
      <c r="J131" s="448"/>
      <c r="K131" s="448"/>
    </row>
    <row r="132" spans="1:11" ht="15.75" customHeight="1" thickBot="1" x14ac:dyDescent="0.3">
      <c r="A132" s="463"/>
      <c r="B132" s="309" t="s">
        <v>369</v>
      </c>
      <c r="C132" s="310">
        <f>Saisie!G80</f>
        <v>0</v>
      </c>
      <c r="D132" s="310">
        <f>Saisie!H80</f>
        <v>0</v>
      </c>
      <c r="E132" s="75"/>
      <c r="F132" s="448"/>
      <c r="G132" s="448"/>
      <c r="H132" s="448"/>
      <c r="I132" s="448"/>
      <c r="J132" s="448"/>
      <c r="K132" s="448"/>
    </row>
    <row r="133" spans="1:11" ht="15.75" customHeight="1" thickBot="1" x14ac:dyDescent="0.3">
      <c r="A133" s="463"/>
      <c r="B133" s="309" t="s">
        <v>358</v>
      </c>
      <c r="C133" s="310"/>
      <c r="D133" s="310">
        <f>Saisie!H81</f>
        <v>0</v>
      </c>
      <c r="E133" s="75"/>
      <c r="F133" s="448"/>
      <c r="G133" s="448"/>
      <c r="H133" s="448"/>
      <c r="I133" s="448"/>
      <c r="J133" s="448"/>
      <c r="K133" s="448"/>
    </row>
    <row r="134" spans="1:11" ht="15.75" customHeight="1" thickBot="1" x14ac:dyDescent="0.3">
      <c r="A134" s="463"/>
      <c r="B134" s="309" t="s">
        <v>368</v>
      </c>
      <c r="C134" s="310">
        <f>Saisie!G81+Saisie!G82</f>
        <v>0</v>
      </c>
      <c r="D134" s="310">
        <f>Saisie!H82</f>
        <v>0</v>
      </c>
      <c r="E134" s="75"/>
      <c r="F134" s="448"/>
      <c r="G134" s="448"/>
      <c r="H134" s="448"/>
      <c r="I134" s="448"/>
      <c r="J134" s="448"/>
      <c r="K134" s="448"/>
    </row>
    <row r="135" spans="1:11" ht="15.75" customHeight="1" thickBot="1" x14ac:dyDescent="0.3">
      <c r="A135" s="463"/>
      <c r="B135" s="309" t="s">
        <v>360</v>
      </c>
      <c r="C135" s="310">
        <f>Saisie!G83</f>
        <v>0</v>
      </c>
      <c r="D135" s="310">
        <f>Saisie!H83</f>
        <v>0</v>
      </c>
      <c r="E135" s="75"/>
      <c r="F135" s="448"/>
      <c r="G135" s="448"/>
      <c r="H135" s="448"/>
      <c r="I135" s="448"/>
      <c r="J135" s="448"/>
      <c r="K135" s="448"/>
    </row>
    <row r="136" spans="1:11" ht="15.75" customHeight="1" thickBot="1" x14ac:dyDescent="0.3">
      <c r="A136" s="463"/>
      <c r="B136" s="314" t="s">
        <v>172</v>
      </c>
      <c r="C136" s="315">
        <f>SUM(C132:C135)</f>
        <v>0</v>
      </c>
      <c r="D136" s="315">
        <f t="shared" si="5"/>
        <v>0</v>
      </c>
      <c r="E136" s="75"/>
      <c r="F136" s="448"/>
      <c r="G136" s="448"/>
      <c r="H136" s="448"/>
      <c r="I136" s="448"/>
      <c r="J136" s="448"/>
      <c r="K136" s="448"/>
    </row>
    <row r="137" spans="1:11" ht="15.75" customHeight="1" thickBot="1" x14ac:dyDescent="0.3">
      <c r="A137" s="463"/>
      <c r="B137" s="313" t="s">
        <v>73</v>
      </c>
      <c r="C137" s="310">
        <f>Saisie!G85</f>
        <v>0</v>
      </c>
      <c r="D137" s="310">
        <f t="shared" si="5"/>
        <v>0</v>
      </c>
      <c r="E137" s="75"/>
      <c r="F137" s="448"/>
      <c r="G137" s="448"/>
      <c r="H137" s="448"/>
      <c r="I137" s="448"/>
      <c r="J137" s="448"/>
      <c r="K137" s="448"/>
    </row>
    <row r="138" spans="1:11" ht="30.75" thickBot="1" x14ac:dyDescent="0.3">
      <c r="A138" s="463"/>
      <c r="B138" s="314" t="s">
        <v>174</v>
      </c>
      <c r="C138" s="315">
        <f>C137</f>
        <v>0</v>
      </c>
      <c r="D138" s="315">
        <f t="shared" si="5"/>
        <v>0</v>
      </c>
      <c r="E138" s="75"/>
      <c r="F138" s="448"/>
      <c r="G138" s="448"/>
      <c r="H138" s="448"/>
      <c r="I138" s="448"/>
      <c r="J138" s="448"/>
      <c r="K138" s="448"/>
    </row>
    <row r="139" spans="1:11" ht="15.75" customHeight="1" thickBot="1" x14ac:dyDescent="0.3">
      <c r="A139" s="463"/>
      <c r="B139" s="313" t="s">
        <v>140</v>
      </c>
      <c r="C139" s="310">
        <f>Saisie!G87</f>
        <v>0</v>
      </c>
      <c r="D139" s="310">
        <f>C139*44/12</f>
        <v>0</v>
      </c>
      <c r="E139" s="75"/>
      <c r="F139" s="448"/>
      <c r="G139" s="448"/>
      <c r="H139" s="448"/>
      <c r="I139" s="448"/>
      <c r="J139" s="448"/>
      <c r="K139" s="448"/>
    </row>
    <row r="140" spans="1:11" ht="15.75" customHeight="1" thickBot="1" x14ac:dyDescent="0.3">
      <c r="A140" s="463"/>
      <c r="B140" s="313" t="s">
        <v>139</v>
      </c>
      <c r="C140" s="310">
        <f>Saisie!G88</f>
        <v>0</v>
      </c>
      <c r="D140" s="310">
        <f>C140*44/12</f>
        <v>0</v>
      </c>
      <c r="E140" s="75"/>
      <c r="F140" s="448"/>
      <c r="G140" s="448"/>
      <c r="H140" s="448"/>
      <c r="I140" s="448"/>
      <c r="J140" s="448"/>
      <c r="K140" s="448"/>
    </row>
    <row r="141" spans="1:11" ht="15.75" customHeight="1" thickBot="1" x14ac:dyDescent="0.3">
      <c r="A141" s="463"/>
      <c r="B141" s="314" t="s">
        <v>142</v>
      </c>
      <c r="C141" s="315">
        <f>SUM(C139:C140)</f>
        <v>0</v>
      </c>
      <c r="D141" s="315">
        <f>C141*44/12</f>
        <v>0</v>
      </c>
      <c r="E141" s="75"/>
      <c r="F141" s="448"/>
      <c r="G141" s="448"/>
      <c r="H141" s="448"/>
      <c r="I141" s="448"/>
      <c r="J141" s="448"/>
      <c r="K141" s="448"/>
    </row>
    <row r="142" spans="1:11" ht="15.75" customHeight="1" thickBot="1" x14ac:dyDescent="0.3">
      <c r="A142" s="463"/>
      <c r="B142" s="313" t="s">
        <v>14</v>
      </c>
      <c r="C142" s="310">
        <f>Saisie!G90</f>
        <v>0</v>
      </c>
      <c r="D142" s="310">
        <f t="shared" si="5"/>
        <v>0</v>
      </c>
      <c r="E142" s="75"/>
      <c r="F142" s="448"/>
      <c r="G142" s="448"/>
      <c r="H142" s="448"/>
      <c r="I142" s="448"/>
      <c r="J142" s="448"/>
      <c r="K142" s="448"/>
    </row>
    <row r="143" spans="1:11" ht="15.75" customHeight="1" thickBot="1" x14ac:dyDescent="0.3">
      <c r="A143" s="463"/>
      <c r="B143" s="313" t="s">
        <v>63</v>
      </c>
      <c r="C143" s="310">
        <f>Saisie!G91</f>
        <v>0</v>
      </c>
      <c r="D143" s="310">
        <f t="shared" si="5"/>
        <v>0</v>
      </c>
      <c r="E143" s="75"/>
      <c r="F143" s="448"/>
      <c r="G143" s="448"/>
      <c r="H143" s="448"/>
      <c r="I143" s="448"/>
      <c r="J143" s="448"/>
      <c r="K143" s="448"/>
    </row>
    <row r="144" spans="1:11" ht="15.75" customHeight="1" thickBot="1" x14ac:dyDescent="0.3">
      <c r="A144" s="463"/>
      <c r="B144" s="313" t="s">
        <v>64</v>
      </c>
      <c r="C144" s="310">
        <f>Saisie!G93</f>
        <v>0</v>
      </c>
      <c r="D144" s="310">
        <f t="shared" si="5"/>
        <v>0</v>
      </c>
      <c r="E144" s="75"/>
      <c r="F144" s="448"/>
      <c r="G144" s="448"/>
      <c r="H144" s="448"/>
      <c r="I144" s="448"/>
      <c r="J144" s="448"/>
      <c r="K144" s="448"/>
    </row>
    <row r="145" spans="1:11" ht="15.75" customHeight="1" thickBot="1" x14ac:dyDescent="0.3">
      <c r="A145" s="463"/>
      <c r="B145" s="22" t="s">
        <v>24</v>
      </c>
      <c r="C145" s="21">
        <f>SUM(C142:C144)</f>
        <v>0</v>
      </c>
      <c r="D145" s="100">
        <f t="shared" si="5"/>
        <v>0</v>
      </c>
      <c r="E145" s="75"/>
      <c r="F145" s="448"/>
      <c r="G145" s="448"/>
      <c r="H145" s="448"/>
      <c r="I145" s="448"/>
      <c r="J145" s="448"/>
      <c r="K145" s="448"/>
    </row>
    <row r="146" spans="1:11" ht="15.75" thickBot="1" x14ac:dyDescent="0.3">
      <c r="A146" s="463"/>
      <c r="B146" s="22" t="s">
        <v>25</v>
      </c>
      <c r="C146" s="21" t="e">
        <f>C145+C136+C131+C127+C138+C141</f>
        <v>#N/A</v>
      </c>
      <c r="D146" s="21" t="e">
        <f t="shared" si="5"/>
        <v>#N/A</v>
      </c>
      <c r="E146" s="75"/>
      <c r="F146" s="448"/>
      <c r="G146" s="448"/>
      <c r="H146" s="448"/>
      <c r="I146" s="448"/>
      <c r="J146" s="448"/>
      <c r="K146" s="448"/>
    </row>
    <row r="147" spans="1:11" ht="15.75" thickBot="1" x14ac:dyDescent="0.3">
      <c r="A147" s="463"/>
      <c r="B147" s="22" t="s">
        <v>61</v>
      </c>
      <c r="C147" s="108">
        <f>D147*12/44</f>
        <v>487.90909090909093</v>
      </c>
      <c r="D147" s="109">
        <f>D31</f>
        <v>1789</v>
      </c>
      <c r="E147" s="75"/>
      <c r="F147" s="448"/>
      <c r="G147" s="448"/>
      <c r="H147" s="448"/>
      <c r="I147" s="448"/>
      <c r="J147" s="448"/>
      <c r="K147" s="448"/>
    </row>
    <row r="148" spans="1:11" s="8" customFormat="1" ht="33.950000000000003" customHeight="1" thickBot="1" x14ac:dyDescent="0.3">
      <c r="A148" s="26"/>
      <c r="B148" s="27"/>
      <c r="C148" s="28"/>
      <c r="D148" s="29"/>
    </row>
    <row r="149" spans="1:11" ht="15.75" thickBot="1" x14ac:dyDescent="0.3">
      <c r="A149" s="463" t="s">
        <v>47</v>
      </c>
      <c r="B149" s="435" t="s">
        <v>163</v>
      </c>
      <c r="C149" s="435"/>
      <c r="D149" s="436"/>
      <c r="E149" s="75"/>
      <c r="F149" s="447" t="s">
        <v>456</v>
      </c>
      <c r="G149" s="448"/>
      <c r="H149" s="448"/>
      <c r="I149" s="448"/>
      <c r="J149" s="448"/>
      <c r="K149" s="448"/>
    </row>
    <row r="150" spans="1:11" ht="15.75" thickBot="1" x14ac:dyDescent="0.3">
      <c r="A150" s="463"/>
      <c r="B150" s="78"/>
      <c r="C150" s="265" t="s">
        <v>59</v>
      </c>
      <c r="D150" s="78" t="s">
        <v>60</v>
      </c>
      <c r="E150" s="75"/>
      <c r="F150" s="448"/>
      <c r="G150" s="448"/>
      <c r="H150" s="448"/>
      <c r="I150" s="448"/>
      <c r="J150" s="448"/>
      <c r="K150" s="448"/>
    </row>
    <row r="151" spans="1:11" ht="30.75" thickBot="1" x14ac:dyDescent="0.3">
      <c r="A151" s="463"/>
      <c r="B151" s="257" t="s">
        <v>175</v>
      </c>
      <c r="C151" s="258">
        <f>SUM(Saisie!G98:G125)</f>
        <v>0</v>
      </c>
      <c r="D151" s="258">
        <f>C151*44/12</f>
        <v>0</v>
      </c>
      <c r="E151" s="75"/>
      <c r="F151" s="448"/>
      <c r="G151" s="448"/>
      <c r="H151" s="448"/>
      <c r="I151" s="448"/>
      <c r="J151" s="448"/>
      <c r="K151" s="448"/>
    </row>
    <row r="152" spans="1:11" ht="15.75" thickBot="1" x14ac:dyDescent="0.3">
      <c r="A152" s="463"/>
      <c r="B152" s="257" t="s">
        <v>254</v>
      </c>
      <c r="C152" s="258">
        <f>Saisie!G130</f>
        <v>0</v>
      </c>
      <c r="D152" s="258">
        <f t="shared" ref="D152:D156" si="6">C152*44/12</f>
        <v>0</v>
      </c>
      <c r="E152" s="75"/>
      <c r="F152" s="448"/>
      <c r="G152" s="448"/>
      <c r="H152" s="448"/>
      <c r="I152" s="448"/>
      <c r="J152" s="448"/>
      <c r="K152" s="448"/>
    </row>
    <row r="153" spans="1:11" ht="15.75" thickBot="1" x14ac:dyDescent="0.3">
      <c r="A153" s="463"/>
      <c r="B153" s="257" t="s">
        <v>285</v>
      </c>
      <c r="C153" s="258">
        <f>SUM(Saisie!G134:G134)</f>
        <v>0</v>
      </c>
      <c r="D153" s="258">
        <f t="shared" si="6"/>
        <v>0</v>
      </c>
      <c r="E153" s="75"/>
      <c r="F153" s="448"/>
      <c r="G153" s="448"/>
      <c r="H153" s="448"/>
      <c r="I153" s="448"/>
      <c r="J153" s="448"/>
      <c r="K153" s="448"/>
    </row>
    <row r="154" spans="1:11" ht="15.75" thickBot="1" x14ac:dyDescent="0.3">
      <c r="A154" s="463"/>
      <c r="B154" s="257" t="s">
        <v>251</v>
      </c>
      <c r="C154" s="258">
        <f>Saisie!G128</f>
        <v>0</v>
      </c>
      <c r="D154" s="258">
        <f t="shared" si="6"/>
        <v>0</v>
      </c>
      <c r="E154" s="75"/>
      <c r="F154" s="448"/>
      <c r="G154" s="448"/>
      <c r="H154" s="448"/>
      <c r="I154" s="448"/>
      <c r="J154" s="448"/>
      <c r="K154" s="448"/>
    </row>
    <row r="155" spans="1:11" ht="15.75" thickBot="1" x14ac:dyDescent="0.3">
      <c r="A155" s="463"/>
      <c r="B155" s="257" t="s">
        <v>462</v>
      </c>
      <c r="C155" s="258">
        <f>D155*12/44</f>
        <v>0</v>
      </c>
      <c r="D155" s="258">
        <f>Saisie!H29+Saisie!H42+Saisie!H45+Saisie!H37</f>
        <v>0</v>
      </c>
      <c r="E155" s="75"/>
      <c r="F155" s="448"/>
      <c r="G155" s="448"/>
      <c r="H155" s="448"/>
      <c r="I155" s="448"/>
      <c r="J155" s="448"/>
      <c r="K155" s="448"/>
    </row>
    <row r="156" spans="1:11" ht="15.75" thickBot="1" x14ac:dyDescent="0.3">
      <c r="A156" s="463"/>
      <c r="B156" s="257" t="s">
        <v>284</v>
      </c>
      <c r="C156" s="258">
        <f>Saisie!G132</f>
        <v>0</v>
      </c>
      <c r="D156" s="258">
        <f t="shared" si="6"/>
        <v>0</v>
      </c>
      <c r="E156" s="75"/>
      <c r="F156" s="448"/>
      <c r="G156" s="448"/>
      <c r="H156" s="448"/>
      <c r="I156" s="448"/>
      <c r="J156" s="448"/>
      <c r="K156" s="448"/>
    </row>
    <row r="157" spans="1:11" ht="30.75" thickBot="1" x14ac:dyDescent="0.3">
      <c r="A157" s="463"/>
      <c r="B157" s="86" t="s">
        <v>26</v>
      </c>
      <c r="C157" s="87">
        <f>SUM(C151:C156)</f>
        <v>0</v>
      </c>
      <c r="D157" s="100">
        <f>C157*44/12</f>
        <v>0</v>
      </c>
      <c r="E157" s="75"/>
      <c r="F157" s="448"/>
      <c r="G157" s="448"/>
      <c r="H157" s="448"/>
      <c r="I157" s="448"/>
      <c r="J157" s="448"/>
      <c r="K157" s="448"/>
    </row>
    <row r="158" spans="1:11" ht="15.75" thickBot="1" x14ac:dyDescent="0.3">
      <c r="A158" s="463"/>
      <c r="B158" s="86" t="s">
        <v>61</v>
      </c>
      <c r="C158" s="104">
        <v>548.21500000000003</v>
      </c>
      <c r="D158" s="107">
        <f>D32</f>
        <v>2158</v>
      </c>
      <c r="E158" s="75"/>
      <c r="F158" s="448"/>
      <c r="G158" s="448"/>
      <c r="H158" s="448"/>
      <c r="I158" s="448"/>
      <c r="J158" s="448"/>
      <c r="K158" s="448"/>
    </row>
    <row r="159" spans="1:11" ht="12.75" customHeight="1" x14ac:dyDescent="0.25">
      <c r="A159" s="463"/>
      <c r="B159" s="92"/>
      <c r="C159" s="93"/>
      <c r="D159" s="94"/>
      <c r="E159" s="75"/>
    </row>
    <row r="160" spans="1:11" ht="12.75" customHeight="1" x14ac:dyDescent="0.25">
      <c r="A160" s="463"/>
      <c r="B160" s="31"/>
      <c r="C160" s="32"/>
      <c r="D160" s="33"/>
    </row>
    <row r="161" spans="1:11" ht="12.75" customHeight="1" x14ac:dyDescent="0.25">
      <c r="A161" s="463"/>
      <c r="B161" s="31"/>
      <c r="C161" s="32"/>
      <c r="D161" s="33"/>
    </row>
    <row r="162" spans="1:11" ht="12.75" customHeight="1" x14ac:dyDescent="0.25">
      <c r="A162" s="463"/>
      <c r="B162" s="31"/>
      <c r="C162" s="32"/>
      <c r="D162" s="33"/>
    </row>
    <row r="163" spans="1:11" ht="12.75" customHeight="1" x14ac:dyDescent="0.25">
      <c r="A163" s="463"/>
      <c r="B163" s="31"/>
      <c r="C163" s="32"/>
      <c r="D163" s="33"/>
    </row>
    <row r="164" spans="1:11" ht="12.75" customHeight="1" x14ac:dyDescent="0.25">
      <c r="A164" s="463"/>
      <c r="B164" s="31"/>
      <c r="C164" s="32"/>
      <c r="D164" s="33"/>
    </row>
    <row r="165" spans="1:11" ht="12.75" customHeight="1" x14ac:dyDescent="0.25">
      <c r="A165" s="463"/>
      <c r="B165" s="31"/>
      <c r="C165" s="32"/>
      <c r="D165" s="33"/>
    </row>
    <row r="166" spans="1:11" ht="12.75" customHeight="1" x14ac:dyDescent="0.25">
      <c r="A166" s="463"/>
      <c r="B166" s="31"/>
      <c r="C166" s="32"/>
      <c r="D166" s="33"/>
    </row>
    <row r="167" spans="1:11" ht="12.75" customHeight="1" x14ac:dyDescent="0.25">
      <c r="A167" s="463"/>
      <c r="B167" s="31"/>
      <c r="C167" s="32"/>
      <c r="D167" s="33"/>
    </row>
    <row r="168" spans="1:11" ht="12.75" customHeight="1" x14ac:dyDescent="0.25">
      <c r="A168" s="463"/>
      <c r="B168" s="31"/>
      <c r="C168" s="32"/>
      <c r="D168" s="33"/>
    </row>
    <row r="169" spans="1:11" ht="12.75" customHeight="1" x14ac:dyDescent="0.25">
      <c r="A169" s="463"/>
      <c r="B169" s="31"/>
      <c r="C169" s="32"/>
      <c r="D169" s="33"/>
    </row>
    <row r="170" spans="1:11" ht="12.75" customHeight="1" x14ac:dyDescent="0.25">
      <c r="A170" s="463"/>
      <c r="B170" s="31"/>
      <c r="C170" s="32"/>
      <c r="D170" s="33"/>
    </row>
    <row r="171" spans="1:11" ht="12.75" customHeight="1" x14ac:dyDescent="0.25">
      <c r="A171" s="463"/>
      <c r="B171" s="31"/>
      <c r="C171" s="32"/>
      <c r="D171" s="33"/>
    </row>
    <row r="172" spans="1:11" ht="12.75" customHeight="1" x14ac:dyDescent="0.25">
      <c r="A172" s="463"/>
      <c r="B172" s="31"/>
      <c r="C172" s="32"/>
      <c r="D172" s="33"/>
    </row>
    <row r="173" spans="1:11" s="8" customFormat="1" ht="12.75" customHeight="1" thickBot="1" x14ac:dyDescent="0.3">
      <c r="A173" s="30"/>
      <c r="B173" s="31"/>
      <c r="C173" s="32"/>
      <c r="D173" s="33"/>
    </row>
    <row r="174" spans="1:11" ht="15.75" thickBot="1" x14ac:dyDescent="0.3">
      <c r="A174" s="463" t="s">
        <v>38</v>
      </c>
      <c r="B174" s="435" t="s">
        <v>164</v>
      </c>
      <c r="C174" s="435"/>
      <c r="D174" s="436"/>
      <c r="E174" s="75"/>
      <c r="F174" s="447" t="s">
        <v>445</v>
      </c>
      <c r="G174" s="448"/>
      <c r="H174" s="448"/>
      <c r="I174" s="448"/>
      <c r="J174" s="448"/>
      <c r="K174" s="448"/>
    </row>
    <row r="175" spans="1:11" ht="15.75" thickBot="1" x14ac:dyDescent="0.3">
      <c r="A175" s="463"/>
      <c r="B175" s="308"/>
      <c r="C175" s="308" t="s">
        <v>59</v>
      </c>
      <c r="D175" s="308" t="s">
        <v>60</v>
      </c>
      <c r="E175" s="75"/>
      <c r="F175" s="448"/>
      <c r="G175" s="448"/>
      <c r="H175" s="448"/>
      <c r="I175" s="448"/>
      <c r="J175" s="448"/>
      <c r="K175" s="448"/>
    </row>
    <row r="176" spans="1:11" ht="15.75" thickBot="1" x14ac:dyDescent="0.3">
      <c r="A176" s="463"/>
      <c r="B176" s="312" t="s">
        <v>39</v>
      </c>
      <c r="C176" s="310">
        <f>Saisie!G139</f>
        <v>0</v>
      </c>
      <c r="D176" s="310">
        <f>C176*44/12</f>
        <v>0</v>
      </c>
      <c r="E176" s="75"/>
      <c r="F176" s="448"/>
      <c r="G176" s="448"/>
      <c r="H176" s="448"/>
      <c r="I176" s="448"/>
      <c r="J176" s="448"/>
      <c r="K176" s="448"/>
    </row>
    <row r="177" spans="1:11" ht="15.75" thickBot="1" x14ac:dyDescent="0.3">
      <c r="A177" s="463"/>
      <c r="B177" s="312" t="s">
        <v>40</v>
      </c>
      <c r="C177" s="310">
        <f>Saisie!G140</f>
        <v>0</v>
      </c>
      <c r="D177" s="310">
        <f>C177*44/12</f>
        <v>0</v>
      </c>
      <c r="E177" s="75"/>
      <c r="F177" s="448"/>
      <c r="G177" s="448"/>
      <c r="H177" s="448"/>
      <c r="I177" s="448"/>
      <c r="J177" s="448"/>
      <c r="K177" s="448"/>
    </row>
    <row r="178" spans="1:11" ht="15.75" thickBot="1" x14ac:dyDescent="0.3">
      <c r="A178" s="463"/>
      <c r="B178" s="86" t="s">
        <v>66</v>
      </c>
      <c r="C178" s="87">
        <f>SUM(C176:C177)</f>
        <v>0</v>
      </c>
      <c r="D178" s="100">
        <f>C178*44/12</f>
        <v>0</v>
      </c>
      <c r="E178" s="75"/>
      <c r="F178" s="448"/>
      <c r="G178" s="448"/>
      <c r="H178" s="448"/>
      <c r="I178" s="448"/>
      <c r="J178" s="448"/>
      <c r="K178" s="448"/>
    </row>
    <row r="179" spans="1:11" ht="15.75" thickBot="1" x14ac:dyDescent="0.3">
      <c r="A179" s="463"/>
      <c r="B179" s="86" t="s">
        <v>61</v>
      </c>
      <c r="C179" s="104">
        <v>136.15600000000001</v>
      </c>
      <c r="D179" s="107">
        <f>D33</f>
        <v>500</v>
      </c>
      <c r="E179" s="75"/>
      <c r="F179" s="448"/>
      <c r="G179" s="448"/>
      <c r="H179" s="448"/>
      <c r="I179" s="448"/>
      <c r="J179" s="448"/>
      <c r="K179" s="448"/>
    </row>
    <row r="180" spans="1:11" s="8" customFormat="1" ht="71.099999999999994" customHeight="1" thickBot="1" x14ac:dyDescent="0.3">
      <c r="A180" s="51"/>
      <c r="B180" s="72"/>
      <c r="C180" s="73"/>
      <c r="D180" s="74"/>
      <c r="E180" s="75"/>
    </row>
    <row r="181" spans="1:11" ht="15.75" thickBot="1" x14ac:dyDescent="0.3">
      <c r="A181" s="472" t="s">
        <v>41</v>
      </c>
      <c r="B181" s="435" t="s">
        <v>165</v>
      </c>
      <c r="C181" s="435"/>
      <c r="D181" s="435"/>
      <c r="E181" s="95"/>
      <c r="F181" s="447" t="s">
        <v>435</v>
      </c>
      <c r="G181" s="448"/>
      <c r="H181" s="448"/>
      <c r="I181" s="448"/>
      <c r="J181" s="448"/>
      <c r="K181" s="448"/>
    </row>
    <row r="182" spans="1:11" ht="15.75" thickBot="1" x14ac:dyDescent="0.3">
      <c r="A182" s="463"/>
      <c r="B182" s="308"/>
      <c r="C182" s="308" t="s">
        <v>59</v>
      </c>
      <c r="D182" s="308" t="s">
        <v>60</v>
      </c>
      <c r="E182" s="95"/>
      <c r="F182" s="448"/>
      <c r="G182" s="448"/>
      <c r="H182" s="448"/>
      <c r="I182" s="448"/>
      <c r="J182" s="448"/>
      <c r="K182" s="448"/>
    </row>
    <row r="183" spans="1:11" ht="15.75" thickBot="1" x14ac:dyDescent="0.3">
      <c r="A183" s="463"/>
      <c r="B183" s="314" t="s">
        <v>468</v>
      </c>
      <c r="C183" s="315">
        <f>Saisie!G145</f>
        <v>303.54545454545456</v>
      </c>
      <c r="D183" s="315">
        <v>1300</v>
      </c>
      <c r="E183" s="95"/>
      <c r="F183" s="448"/>
      <c r="G183" s="448"/>
      <c r="H183" s="448"/>
      <c r="I183" s="448"/>
      <c r="J183" s="448"/>
      <c r="K183" s="448"/>
    </row>
    <row r="184" spans="1:11" ht="15.75" thickBot="1" x14ac:dyDescent="0.3">
      <c r="A184" s="463"/>
      <c r="B184" s="319" t="s">
        <v>61</v>
      </c>
      <c r="C184" s="320">
        <v>350.11599999999999</v>
      </c>
      <c r="D184" s="321">
        <f>D34</f>
        <v>1113</v>
      </c>
      <c r="E184" s="95"/>
      <c r="F184" s="448"/>
      <c r="G184" s="448"/>
      <c r="H184" s="448"/>
      <c r="I184" s="448"/>
      <c r="J184" s="448"/>
      <c r="K184" s="448"/>
    </row>
    <row r="185" spans="1:11" ht="15.75" thickBot="1" x14ac:dyDescent="0.3">
      <c r="A185" s="75"/>
      <c r="B185" s="75"/>
      <c r="C185" s="76"/>
      <c r="D185" s="75"/>
      <c r="E185" s="75"/>
      <c r="F185" s="448"/>
      <c r="G185" s="448"/>
      <c r="H185" s="448"/>
      <c r="I185" s="448"/>
      <c r="J185" s="448"/>
      <c r="K185" s="448"/>
    </row>
    <row r="186" spans="1:11" ht="33.6" customHeight="1" thickBot="1" x14ac:dyDescent="0.3">
      <c r="A186" s="75"/>
      <c r="B186" s="76"/>
      <c r="C186" s="75"/>
      <c r="D186" s="75"/>
      <c r="F186" s="448"/>
      <c r="G186" s="448"/>
      <c r="H186" s="448"/>
      <c r="I186" s="448"/>
      <c r="J186" s="448"/>
      <c r="K186" s="448"/>
    </row>
    <row r="194" spans="5:5" x14ac:dyDescent="0.2">
      <c r="E194" s="13"/>
    </row>
  </sheetData>
  <mergeCells count="35">
    <mergeCell ref="B67:B68"/>
    <mergeCell ref="B174:D174"/>
    <mergeCell ref="B109:D109"/>
    <mergeCell ref="B114:D114"/>
    <mergeCell ref="B116:D116"/>
    <mergeCell ref="B181:D181"/>
    <mergeCell ref="A181:A184"/>
    <mergeCell ref="A121:A147"/>
    <mergeCell ref="A81:A85"/>
    <mergeCell ref="A109:A113"/>
    <mergeCell ref="A149:A172"/>
    <mergeCell ref="A174:A179"/>
    <mergeCell ref="B121:D121"/>
    <mergeCell ref="B149:D149"/>
    <mergeCell ref="F181:K186"/>
    <mergeCell ref="F121:K147"/>
    <mergeCell ref="F149:K158"/>
    <mergeCell ref="F174:K179"/>
    <mergeCell ref="F46:K63"/>
    <mergeCell ref="A1:F1"/>
    <mergeCell ref="B46:D46"/>
    <mergeCell ref="B81:D81"/>
    <mergeCell ref="F65:K68"/>
    <mergeCell ref="F70:K79"/>
    <mergeCell ref="F81:K92"/>
    <mergeCell ref="E9:J11"/>
    <mergeCell ref="A14:B16"/>
    <mergeCell ref="C13:C16"/>
    <mergeCell ref="D13:G16"/>
    <mergeCell ref="A26:A28"/>
    <mergeCell ref="B26:B28"/>
    <mergeCell ref="A9:A11"/>
    <mergeCell ref="B65:B66"/>
    <mergeCell ref="D26:D28"/>
    <mergeCell ref="A46:A79"/>
  </mergeCells>
  <conditionalFormatting sqref="E7:F8 E12:F12 E17:F25">
    <cfRule type="containsText" dxfId="2" priority="2" stopIfTrue="1" operator="containsText" text="A">
      <formula>NOT(ISERROR(SEARCH("A",E7)))</formula>
    </cfRule>
  </conditionalFormatting>
  <hyperlinks>
    <hyperlink ref="C8" location="FAQ!A3" display="qu'est-ce que c'est ?" xr:uid="{00000000-0004-0000-0300-000000000000}"/>
    <hyperlink ref="D8" location="FAQ!A3" display="qu'est-ce que c'est ?" xr:uid="{00000000-0004-0000-0300-000001000000}"/>
  </hyperlink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G108"/>
  <sheetViews>
    <sheetView showGridLines="0" topLeftCell="A76" zoomScale="85" zoomScaleNormal="85" workbookViewId="0">
      <selection activeCell="D83" sqref="D83"/>
    </sheetView>
  </sheetViews>
  <sheetFormatPr baseColWidth="10" defaultColWidth="11.42578125" defaultRowHeight="12.75" x14ac:dyDescent="0.2"/>
  <cols>
    <col min="1" max="1" width="28.5703125" style="7" customWidth="1"/>
    <col min="2" max="2" width="28.5703125" style="16" customWidth="1"/>
    <col min="3" max="3" width="16.5703125" style="3" customWidth="1"/>
    <col min="4" max="4" width="16.5703125" style="7" customWidth="1"/>
    <col min="5" max="5" width="19.42578125" style="7" customWidth="1"/>
    <col min="6" max="6" width="21.42578125" style="7" customWidth="1"/>
    <col min="7" max="7" width="17.5703125" style="7" customWidth="1"/>
    <col min="8" max="16384" width="11.42578125" style="7"/>
  </cols>
  <sheetData>
    <row r="1" spans="1:6" ht="67.7" customHeight="1" x14ac:dyDescent="0.2">
      <c r="A1" s="485" t="s">
        <v>193</v>
      </c>
      <c r="B1" s="485"/>
      <c r="C1" s="485"/>
      <c r="D1" s="485"/>
      <c r="E1" s="485"/>
      <c r="F1" s="485"/>
    </row>
    <row r="6" spans="1:6" ht="7.7" customHeight="1" x14ac:dyDescent="0.2"/>
    <row r="7" spans="1:6" ht="31.35" customHeight="1" thickBot="1" x14ac:dyDescent="0.3">
      <c r="A7" s="478" t="s">
        <v>68</v>
      </c>
      <c r="B7" s="478"/>
      <c r="C7" s="110"/>
    </row>
    <row r="8" spans="1:6" ht="41.25" customHeight="1" thickBot="1" x14ac:dyDescent="0.25">
      <c r="A8" s="538" t="s">
        <v>27</v>
      </c>
      <c r="B8" s="539">
        <v>0.15</v>
      </c>
      <c r="C8" s="111" t="s">
        <v>176</v>
      </c>
      <c r="D8" s="447" t="s">
        <v>194</v>
      </c>
      <c r="E8" s="448"/>
      <c r="F8" s="448"/>
    </row>
    <row r="9" spans="1:6" ht="45" customHeight="1" thickBot="1" x14ac:dyDescent="0.3">
      <c r="A9" s="538" t="s">
        <v>92</v>
      </c>
      <c r="B9" s="539">
        <v>100</v>
      </c>
      <c r="C9" s="110" t="s">
        <v>177</v>
      </c>
      <c r="D9" s="448"/>
      <c r="E9" s="448"/>
      <c r="F9" s="448"/>
    </row>
    <row r="10" spans="1:6" ht="36" customHeight="1" thickBot="1" x14ac:dyDescent="0.3">
      <c r="A10" s="347" t="s">
        <v>28</v>
      </c>
      <c r="B10" s="348">
        <f>B8*1000/3.19+B9</f>
        <v>147.02194357366773</v>
      </c>
      <c r="C10" s="110" t="s">
        <v>178</v>
      </c>
      <c r="D10" s="448"/>
      <c r="E10" s="448"/>
      <c r="F10" s="448"/>
    </row>
    <row r="11" spans="1:6" ht="29.1" customHeight="1" x14ac:dyDescent="0.25">
      <c r="A11" s="112"/>
      <c r="B11" s="113"/>
      <c r="C11" s="112"/>
    </row>
    <row r="12" spans="1:6" ht="15" x14ac:dyDescent="0.25">
      <c r="A12" s="478" t="s">
        <v>166</v>
      </c>
      <c r="B12" s="478"/>
      <c r="C12" s="478"/>
      <c r="D12" s="110"/>
    </row>
    <row r="13" spans="1:6" ht="15" x14ac:dyDescent="0.25">
      <c r="A13" s="312"/>
      <c r="B13" s="308" t="s">
        <v>436</v>
      </c>
      <c r="C13" s="308" t="s">
        <v>69</v>
      </c>
      <c r="D13" s="110"/>
    </row>
    <row r="14" spans="1:6" ht="15" x14ac:dyDescent="0.25">
      <c r="A14" s="312" t="s">
        <v>1</v>
      </c>
      <c r="B14" s="349">
        <f>VLOOKUP(A14,Résultats!A29:B35,2,FALSE)</f>
        <v>0</v>
      </c>
      <c r="C14" s="346">
        <f>B14*$B$10/1000</f>
        <v>0</v>
      </c>
      <c r="D14" s="110"/>
    </row>
    <row r="15" spans="1:6" ht="15" x14ac:dyDescent="0.25">
      <c r="A15" s="312" t="s">
        <v>2</v>
      </c>
      <c r="B15" s="349">
        <f>VLOOKUP(A15,Résultats!A30:B36,2,FALSE)</f>
        <v>67.2</v>
      </c>
      <c r="C15" s="346">
        <f t="shared" ref="C15:C19" si="0">B15*$B$10/1000</f>
        <v>9.8798746081504731</v>
      </c>
      <c r="D15" s="110"/>
    </row>
    <row r="16" spans="1:6" ht="15" x14ac:dyDescent="0.25">
      <c r="A16" s="312" t="s">
        <v>7</v>
      </c>
      <c r="B16" s="349">
        <f>VLOOKUP(A16,Résultats!A31:B37,2,FALSE)</f>
        <v>200</v>
      </c>
      <c r="C16" s="346">
        <f t="shared" si="0"/>
        <v>29.404388714733546</v>
      </c>
      <c r="D16" s="110"/>
    </row>
    <row r="17" spans="1:5" ht="15" x14ac:dyDescent="0.25">
      <c r="A17" s="312" t="s">
        <v>425</v>
      </c>
      <c r="B17" s="349">
        <f>VLOOKUP(A17,Résultats!A32:B44,2,FALSE)</f>
        <v>0</v>
      </c>
      <c r="C17" s="346">
        <f t="shared" si="0"/>
        <v>0</v>
      </c>
      <c r="D17" s="110"/>
    </row>
    <row r="18" spans="1:5" ht="15" x14ac:dyDescent="0.25">
      <c r="A18" s="312" t="s">
        <v>426</v>
      </c>
      <c r="B18" s="349">
        <f>VLOOKUP(A18,Résultats!A33:B45,2,FALSE)</f>
        <v>0</v>
      </c>
      <c r="C18" s="346">
        <f t="shared" si="0"/>
        <v>0</v>
      </c>
      <c r="D18" s="110"/>
    </row>
    <row r="19" spans="1:5" ht="15" x14ac:dyDescent="0.25">
      <c r="A19" s="312" t="s">
        <v>41</v>
      </c>
      <c r="B19" s="349">
        <f>VLOOKUP(A19,Résultats!A34:B46,2,FALSE)</f>
        <v>1300</v>
      </c>
      <c r="C19" s="346">
        <f t="shared" si="0"/>
        <v>191.12852664576806</v>
      </c>
      <c r="D19" s="110"/>
    </row>
    <row r="20" spans="1:5" ht="15" x14ac:dyDescent="0.25">
      <c r="A20" s="312" t="s">
        <v>427</v>
      </c>
      <c r="B20" s="310">
        <f>SUM(B14:B19)</f>
        <v>1567.2</v>
      </c>
      <c r="C20" s="311">
        <f>SUM(C14:C19)</f>
        <v>230.41278996865208</v>
      </c>
      <c r="D20" s="110"/>
    </row>
    <row r="21" spans="1:5" ht="30" x14ac:dyDescent="0.25">
      <c r="A21" s="350" t="s">
        <v>130</v>
      </c>
      <c r="B21" s="351"/>
      <c r="C21" s="352">
        <f>12/44*B20*B8/0.8</f>
        <v>80.140909090909076</v>
      </c>
      <c r="D21" s="110"/>
    </row>
    <row r="22" spans="1:5" ht="15" x14ac:dyDescent="0.25">
      <c r="A22" s="350" t="s">
        <v>101</v>
      </c>
      <c r="B22" s="351"/>
      <c r="C22" s="352">
        <f>B20*B9/1000</f>
        <v>156.72</v>
      </c>
      <c r="D22" s="110"/>
    </row>
    <row r="23" spans="1:5" ht="44.25" customHeight="1" x14ac:dyDescent="0.25">
      <c r="A23" s="478" t="s">
        <v>93</v>
      </c>
      <c r="B23" s="478"/>
      <c r="C23" s="478"/>
      <c r="D23" s="110"/>
    </row>
    <row r="24" spans="1:5" ht="49.5" customHeight="1" x14ac:dyDescent="0.25">
      <c r="A24" s="486" t="s">
        <v>131</v>
      </c>
      <c r="B24" s="486"/>
      <c r="C24" s="310">
        <f>10*B9</f>
        <v>1000</v>
      </c>
      <c r="D24" s="110"/>
    </row>
    <row r="25" spans="1:5" ht="33" customHeight="1" x14ac:dyDescent="0.25">
      <c r="A25" s="486" t="str">
        <f>CONCATENATE("Entre le coût de la taxe et le chèque, vous ",IF(C22&gt;C24,"perdriez","gagneriez")," chaque année (en €) :")</f>
        <v>Entre le coût de la taxe et le chèque, vous gagneriez chaque année (en €) :</v>
      </c>
      <c r="B25" s="486"/>
      <c r="C25" s="310">
        <f>ABS(C24-C22)</f>
        <v>843.28</v>
      </c>
      <c r="D25" s="110"/>
    </row>
    <row r="26" spans="1:5" ht="7.7" customHeight="1" x14ac:dyDescent="0.25">
      <c r="A26" s="114"/>
      <c r="B26" s="115"/>
      <c r="C26" s="114"/>
    </row>
    <row r="27" spans="1:5" ht="47.25" customHeight="1" x14ac:dyDescent="0.25">
      <c r="A27" s="483" t="s">
        <v>1</v>
      </c>
      <c r="B27" s="478" t="s">
        <v>167</v>
      </c>
      <c r="C27" s="478"/>
      <c r="D27" s="478"/>
      <c r="E27" s="110"/>
    </row>
    <row r="28" spans="1:5" ht="36.75" customHeight="1" x14ac:dyDescent="0.25">
      <c r="A28" s="483"/>
      <c r="B28" s="312"/>
      <c r="C28" s="308" t="s">
        <v>436</v>
      </c>
      <c r="D28" s="308" t="s">
        <v>69</v>
      </c>
      <c r="E28" s="110"/>
    </row>
    <row r="29" spans="1:5" ht="15" x14ac:dyDescent="0.25">
      <c r="A29" s="483"/>
      <c r="B29" s="312" t="s">
        <v>379</v>
      </c>
      <c r="C29" s="345">
        <f>VLOOKUP(B29,Résultats!$B$48:$D$53,3,FALSE)</f>
        <v>0</v>
      </c>
      <c r="D29" s="346">
        <f>C29*$B$10/1000</f>
        <v>0</v>
      </c>
      <c r="E29" s="110"/>
    </row>
    <row r="30" spans="1:5" ht="15" x14ac:dyDescent="0.25">
      <c r="A30" s="483"/>
      <c r="B30" s="312" t="s">
        <v>16</v>
      </c>
      <c r="C30" s="345">
        <f>VLOOKUP(B30,Résultats!$B$48:$D$53,3,FALSE)</f>
        <v>0</v>
      </c>
      <c r="D30" s="346">
        <f t="shared" ref="D30:D34" si="1">C30*$B$10/1000</f>
        <v>0</v>
      </c>
      <c r="E30" s="110"/>
    </row>
    <row r="31" spans="1:5" ht="15" x14ac:dyDescent="0.25">
      <c r="A31" s="483"/>
      <c r="B31" s="312" t="s">
        <v>307</v>
      </c>
      <c r="C31" s="345">
        <f>VLOOKUP(B31,Résultats!$B$48:$D$53,3,FALSE)</f>
        <v>0</v>
      </c>
      <c r="D31" s="346">
        <f t="shared" si="1"/>
        <v>0</v>
      </c>
      <c r="E31" s="110"/>
    </row>
    <row r="32" spans="1:5" ht="15" x14ac:dyDescent="0.25">
      <c r="A32" s="483"/>
      <c r="B32" s="312" t="s">
        <v>17</v>
      </c>
      <c r="C32" s="345">
        <f>VLOOKUP(B32,Résultats!$B$48:$D$53,3,FALSE)</f>
        <v>0</v>
      </c>
      <c r="D32" s="346">
        <f t="shared" si="1"/>
        <v>0</v>
      </c>
      <c r="E32" s="110"/>
    </row>
    <row r="33" spans="1:5" ht="15" x14ac:dyDescent="0.25">
      <c r="A33" s="483"/>
      <c r="B33" s="312" t="s">
        <v>238</v>
      </c>
      <c r="C33" s="345">
        <f>VLOOKUP(B33,Résultats!$B$48:$D$53,3,FALSE)</f>
        <v>0</v>
      </c>
      <c r="D33" s="346">
        <f t="shared" si="1"/>
        <v>0</v>
      </c>
      <c r="E33" s="110"/>
    </row>
    <row r="34" spans="1:5" ht="15" x14ac:dyDescent="0.25">
      <c r="A34" s="483"/>
      <c r="B34" s="312" t="s">
        <v>308</v>
      </c>
      <c r="C34" s="345">
        <f>VLOOKUP(B34,Résultats!$B$48:$D$53,3,FALSE)</f>
        <v>0</v>
      </c>
      <c r="D34" s="346">
        <f t="shared" si="1"/>
        <v>0</v>
      </c>
      <c r="E34" s="110"/>
    </row>
    <row r="35" spans="1:5" ht="18.600000000000001" customHeight="1" x14ac:dyDescent="0.25">
      <c r="A35" s="483"/>
      <c r="B35" s="314" t="s">
        <v>70</v>
      </c>
      <c r="C35" s="315">
        <f>SUM(C29:C34)</f>
        <v>0</v>
      </c>
      <c r="D35" s="315">
        <f>C35*$B$10/1000</f>
        <v>0</v>
      </c>
      <c r="E35" s="110"/>
    </row>
    <row r="36" spans="1:5" ht="30.6" customHeight="1" x14ac:dyDescent="0.2">
      <c r="A36" s="26"/>
      <c r="B36" s="482"/>
      <c r="C36" s="482"/>
      <c r="D36" s="482"/>
    </row>
    <row r="37" spans="1:5" ht="45.75" customHeight="1" x14ac:dyDescent="0.25">
      <c r="A37" s="483" t="s">
        <v>2</v>
      </c>
      <c r="B37" s="478" t="s">
        <v>179</v>
      </c>
      <c r="C37" s="478"/>
      <c r="D37" s="478"/>
      <c r="E37" s="110"/>
    </row>
    <row r="38" spans="1:5" ht="15.75" customHeight="1" x14ac:dyDescent="0.25">
      <c r="A38" s="483"/>
      <c r="B38" s="312"/>
      <c r="C38" s="308" t="s">
        <v>436</v>
      </c>
      <c r="D38" s="308" t="s">
        <v>69</v>
      </c>
      <c r="E38" s="110"/>
    </row>
    <row r="39" spans="1:5" ht="15.75" customHeight="1" x14ac:dyDescent="0.25">
      <c r="A39" s="483"/>
      <c r="B39" s="312" t="s">
        <v>310</v>
      </c>
      <c r="C39" s="317">
        <f>VLOOKUP(B39,Résultats!$B$83:$D$90,3,FALSE)</f>
        <v>0</v>
      </c>
      <c r="D39" s="318">
        <f t="shared" ref="D39:D47" si="2">C39*$B$10/1000</f>
        <v>0</v>
      </c>
      <c r="E39" s="110"/>
    </row>
    <row r="40" spans="1:5" ht="15.75" customHeight="1" x14ac:dyDescent="0.25">
      <c r="A40" s="483"/>
      <c r="B40" s="312" t="s">
        <v>380</v>
      </c>
      <c r="C40" s="317">
        <f>VLOOKUP(B40,Résultats!$B$83:$D$90,3,FALSE)</f>
        <v>0</v>
      </c>
      <c r="D40" s="318">
        <f t="shared" si="2"/>
        <v>0</v>
      </c>
      <c r="E40" s="110"/>
    </row>
    <row r="41" spans="1:5" ht="15.75" customHeight="1" x14ac:dyDescent="0.25">
      <c r="A41" s="483"/>
      <c r="B41" s="312" t="s">
        <v>288</v>
      </c>
      <c r="C41" s="317">
        <f>VLOOKUP(B41,Résultats!$B$83:$D$90,3,FALSE)</f>
        <v>0</v>
      </c>
      <c r="D41" s="318">
        <f t="shared" si="2"/>
        <v>0</v>
      </c>
      <c r="E41" s="110"/>
    </row>
    <row r="42" spans="1:5" ht="18" customHeight="1" x14ac:dyDescent="0.25">
      <c r="A42" s="483"/>
      <c r="B42" s="312" t="s">
        <v>72</v>
      </c>
      <c r="C42" s="317">
        <f>VLOOKUP(B42,Résultats!$B$83:$D$90,3,FALSE)</f>
        <v>0</v>
      </c>
      <c r="D42" s="318">
        <f t="shared" si="2"/>
        <v>0</v>
      </c>
      <c r="E42" s="110"/>
    </row>
    <row r="43" spans="1:5" ht="20.25" customHeight="1" x14ac:dyDescent="0.25">
      <c r="A43" s="483"/>
      <c r="B43" s="312" t="s">
        <v>18</v>
      </c>
      <c r="C43" s="317">
        <f>VLOOKUP(B43,Résultats!$B$83:$D$90,3,FALSE)</f>
        <v>0</v>
      </c>
      <c r="D43" s="318">
        <f t="shared" si="2"/>
        <v>0</v>
      </c>
      <c r="E43" s="110"/>
    </row>
    <row r="44" spans="1:5" ht="18" customHeight="1" x14ac:dyDescent="0.25">
      <c r="A44" s="483"/>
      <c r="B44" s="312" t="s">
        <v>62</v>
      </c>
      <c r="C44" s="317">
        <f>VLOOKUP(B44,Résultats!$B$83:$D$90,3,FALSE)</f>
        <v>67.2</v>
      </c>
      <c r="D44" s="318">
        <f t="shared" si="2"/>
        <v>9.8798746081504731</v>
      </c>
      <c r="E44" s="110"/>
    </row>
    <row r="45" spans="1:5" ht="15.75" customHeight="1" x14ac:dyDescent="0.25">
      <c r="A45" s="483"/>
      <c r="B45" s="312" t="s">
        <v>19</v>
      </c>
      <c r="C45" s="317">
        <f>VLOOKUP(B45,Résultats!$B$83:$D$90,3,FALSE)</f>
        <v>0</v>
      </c>
      <c r="D45" s="318">
        <f t="shared" si="2"/>
        <v>0</v>
      </c>
      <c r="E45" s="110"/>
    </row>
    <row r="46" spans="1:5" ht="15.75" customHeight="1" x14ac:dyDescent="0.25">
      <c r="A46" s="483"/>
      <c r="B46" s="312" t="s">
        <v>20</v>
      </c>
      <c r="C46" s="317">
        <f>VLOOKUP(B46,Résultats!$B$83:$D$90,3,FALSE)</f>
        <v>0</v>
      </c>
      <c r="D46" s="318">
        <f t="shared" si="2"/>
        <v>0</v>
      </c>
      <c r="E46" s="110"/>
    </row>
    <row r="47" spans="1:5" ht="15.75" customHeight="1" x14ac:dyDescent="0.25">
      <c r="A47" s="483"/>
      <c r="B47" s="314" t="s">
        <v>21</v>
      </c>
      <c r="C47" s="315">
        <f>SUM(C$39:$C$46)</f>
        <v>67.2</v>
      </c>
      <c r="D47" s="315">
        <f t="shared" si="2"/>
        <v>9.8798746081504731</v>
      </c>
      <c r="E47" s="110"/>
    </row>
    <row r="48" spans="1:5" ht="15.75" customHeight="1" x14ac:dyDescent="0.25">
      <c r="A48" s="307"/>
      <c r="B48" s="307"/>
      <c r="C48" s="307"/>
      <c r="D48" s="307"/>
      <c r="E48" s="110"/>
    </row>
    <row r="49" spans="1:7" ht="15.75" customHeight="1" x14ac:dyDescent="0.2">
      <c r="A49" s="307"/>
      <c r="B49" s="307"/>
      <c r="C49" s="307"/>
      <c r="D49" s="307"/>
      <c r="E49" s="307"/>
    </row>
    <row r="50" spans="1:7" ht="22.5" x14ac:dyDescent="0.25">
      <c r="A50" s="307" t="s">
        <v>7</v>
      </c>
      <c r="B50" s="435" t="s">
        <v>292</v>
      </c>
      <c r="C50" s="435"/>
      <c r="D50" s="436"/>
      <c r="E50" s="110"/>
    </row>
    <row r="51" spans="1:7" ht="15.75" customHeight="1" x14ac:dyDescent="0.25">
      <c r="A51" s="307"/>
      <c r="B51" s="308"/>
      <c r="C51" s="308" t="s">
        <v>436</v>
      </c>
      <c r="D51" s="308" t="s">
        <v>69</v>
      </c>
      <c r="E51" s="110"/>
    </row>
    <row r="52" spans="1:7" ht="15.75" customHeight="1" x14ac:dyDescent="0.25">
      <c r="A52" s="307"/>
      <c r="B52" s="309" t="s">
        <v>429</v>
      </c>
      <c r="C52" s="310">
        <f>VLOOKUP(B52,Résultats!$B$111:$D$117,3,FALSE)</f>
        <v>0</v>
      </c>
      <c r="D52" s="311">
        <f t="shared" ref="D52" si="3">C52*$B$10/1000</f>
        <v>0</v>
      </c>
      <c r="E52" s="110"/>
    </row>
    <row r="53" spans="1:7" ht="15.75" customHeight="1" x14ac:dyDescent="0.25">
      <c r="A53" s="307"/>
      <c r="B53" s="309" t="s">
        <v>430</v>
      </c>
      <c r="C53" s="310">
        <f>VLOOKUP(B53,Résultats!$B$111:$D$117,3,FALSE)</f>
        <v>0</v>
      </c>
      <c r="D53" s="311">
        <f t="shared" ref="D53:D54" si="4">C53*$B$10/1000</f>
        <v>0</v>
      </c>
      <c r="E53" s="110"/>
    </row>
    <row r="54" spans="1:7" ht="15.75" customHeight="1" x14ac:dyDescent="0.25">
      <c r="A54" s="307"/>
      <c r="B54" s="309" t="s">
        <v>431</v>
      </c>
      <c r="C54" s="310">
        <f>VLOOKUP(B54,Résultats!$B$111:$D$117,3,FALSE)</f>
        <v>0</v>
      </c>
      <c r="D54" s="311">
        <f t="shared" si="4"/>
        <v>0</v>
      </c>
      <c r="E54" s="110"/>
    </row>
    <row r="55" spans="1:7" ht="15.75" customHeight="1" x14ac:dyDescent="0.25">
      <c r="A55" s="307"/>
      <c r="B55" s="261" t="s">
        <v>299</v>
      </c>
      <c r="C55" s="310">
        <f>Résultats!D115</f>
        <v>0</v>
      </c>
      <c r="D55" s="311">
        <f>C55*$B$10/1000</f>
        <v>0</v>
      </c>
      <c r="E55" s="110"/>
    </row>
    <row r="56" spans="1:7" ht="15.75" customHeight="1" x14ac:dyDescent="0.25">
      <c r="A56" s="307"/>
      <c r="B56" s="309" t="s">
        <v>296</v>
      </c>
      <c r="C56" s="310">
        <f>Résultats!D117</f>
        <v>200</v>
      </c>
      <c r="D56" s="311">
        <f>C56*$B$10/1000</f>
        <v>29.404388714733546</v>
      </c>
      <c r="E56" s="110"/>
    </row>
    <row r="57" spans="1:7" ht="15.75" customHeight="1" x14ac:dyDescent="0.25">
      <c r="A57" s="307"/>
      <c r="B57" s="22" t="s">
        <v>25</v>
      </c>
      <c r="C57" s="21">
        <f>C56+C52+C53+C54+C55</f>
        <v>200</v>
      </c>
      <c r="D57" s="21">
        <f>SUM(D52:D56)</f>
        <v>29.404388714733546</v>
      </c>
      <c r="E57" s="110"/>
    </row>
    <row r="58" spans="1:7" ht="15.75" customHeight="1" x14ac:dyDescent="0.25">
      <c r="A58" s="307"/>
      <c r="B58"/>
      <c r="C58"/>
      <c r="D58"/>
      <c r="E58" s="110"/>
    </row>
    <row r="59" spans="1:7" ht="15.75" customHeight="1" x14ac:dyDescent="0.25">
      <c r="A59" s="307"/>
      <c r="B59"/>
      <c r="C59"/>
      <c r="D59"/>
      <c r="E59" s="110"/>
    </row>
    <row r="60" spans="1:7" ht="54" customHeight="1" x14ac:dyDescent="0.2">
      <c r="A60" s="307"/>
      <c r="B60" s="484" t="s">
        <v>439</v>
      </c>
      <c r="C60" s="484"/>
      <c r="D60" s="484"/>
    </row>
    <row r="61" spans="1:7" ht="44.25" customHeight="1" x14ac:dyDescent="0.25">
      <c r="A61" s="307"/>
      <c r="B61" s="478" t="s">
        <v>168</v>
      </c>
      <c r="C61" s="478"/>
      <c r="D61" s="478"/>
      <c r="E61" s="110"/>
    </row>
    <row r="62" spans="1:7" ht="15.75" customHeight="1" x14ac:dyDescent="0.25">
      <c r="A62" s="307"/>
      <c r="B62" s="312"/>
      <c r="C62" s="308" t="s">
        <v>436</v>
      </c>
      <c r="D62" s="308" t="s">
        <v>69</v>
      </c>
      <c r="E62" s="110"/>
    </row>
    <row r="63" spans="1:7" ht="15.75" customHeight="1" x14ac:dyDescent="0.25">
      <c r="A63" s="307"/>
      <c r="B63" s="313" t="s">
        <v>8</v>
      </c>
      <c r="C63" s="310">
        <f>VLOOKUP(B63,Résultats!$B$123:$D$144,3,FALSE)</f>
        <v>0</v>
      </c>
      <c r="D63" s="311">
        <f t="shared" ref="D63:D86" si="5">C63*$B$10/1000</f>
        <v>0</v>
      </c>
      <c r="E63" s="110"/>
      <c r="F63" s="480" t="s">
        <v>71</v>
      </c>
      <c r="G63" s="481"/>
    </row>
    <row r="64" spans="1:7" ht="15.75" customHeight="1" x14ac:dyDescent="0.25">
      <c r="A64" s="307"/>
      <c r="B64" s="313" t="s">
        <v>9</v>
      </c>
      <c r="C64" s="310">
        <f>VLOOKUP(B64,Résultats!$B$123:$D$144,3,FALSE)</f>
        <v>0</v>
      </c>
      <c r="D64" s="311">
        <f t="shared" si="5"/>
        <v>0</v>
      </c>
      <c r="E64" s="110"/>
      <c r="G64" s="17" t="s">
        <v>69</v>
      </c>
    </row>
    <row r="65" spans="1:7" ht="15.75" customHeight="1" x14ac:dyDescent="0.25">
      <c r="A65" s="307"/>
      <c r="B65" s="313" t="s">
        <v>51</v>
      </c>
      <c r="C65" s="310">
        <f>VLOOKUP(B65,Résultats!$B$123:$D$144,3,FALSE)</f>
        <v>0</v>
      </c>
      <c r="D65" s="311">
        <f t="shared" si="5"/>
        <v>0</v>
      </c>
      <c r="E65" s="110"/>
      <c r="F65" s="19" t="s">
        <v>22</v>
      </c>
      <c r="G65" s="16">
        <f>D67</f>
        <v>0</v>
      </c>
    </row>
    <row r="66" spans="1:7" ht="15.75" customHeight="1" x14ac:dyDescent="0.25">
      <c r="A66" s="307"/>
      <c r="B66" s="313" t="s">
        <v>10</v>
      </c>
      <c r="C66" s="310">
        <f>VLOOKUP(B66,Résultats!$B$123:$D$144,3,FALSE)</f>
        <v>0</v>
      </c>
      <c r="D66" s="311">
        <f t="shared" si="5"/>
        <v>0</v>
      </c>
      <c r="E66" s="110"/>
      <c r="F66" s="19" t="s">
        <v>23</v>
      </c>
      <c r="G66" s="16" t="e">
        <f>D71</f>
        <v>#N/A</v>
      </c>
    </row>
    <row r="67" spans="1:7" ht="31.5" x14ac:dyDescent="0.25">
      <c r="A67" s="307"/>
      <c r="B67" s="314" t="s">
        <v>22</v>
      </c>
      <c r="C67" s="315">
        <f>Résultats!C127</f>
        <v>0</v>
      </c>
      <c r="D67" s="315">
        <f t="shared" si="5"/>
        <v>0</v>
      </c>
      <c r="E67" s="110"/>
      <c r="F67" s="19" t="s">
        <v>172</v>
      </c>
      <c r="G67" s="16">
        <f>D76</f>
        <v>0</v>
      </c>
    </row>
    <row r="68" spans="1:7" ht="15.75" customHeight="1" x14ac:dyDescent="0.25">
      <c r="A68" s="307"/>
      <c r="B68" s="313" t="s">
        <v>11</v>
      </c>
      <c r="C68" s="310">
        <f>VLOOKUP(B68,Résultats!$B$123:$D$144,3,FALSE)</f>
        <v>0</v>
      </c>
      <c r="D68" s="311">
        <f t="shared" si="5"/>
        <v>0</v>
      </c>
      <c r="E68" s="110"/>
      <c r="F68" s="19" t="s">
        <v>65</v>
      </c>
      <c r="G68" s="16">
        <f>D78</f>
        <v>0</v>
      </c>
    </row>
    <row r="69" spans="1:7" ht="15.75" customHeight="1" x14ac:dyDescent="0.25">
      <c r="A69" s="307"/>
      <c r="B69" s="316" t="s">
        <v>359</v>
      </c>
      <c r="C69" s="310" t="e">
        <f>VLOOKUP(B69,Résultats!$B$123:$D$144,3,FALSE)</f>
        <v>#N/A</v>
      </c>
      <c r="D69" s="311" t="e">
        <f t="shared" si="5"/>
        <v>#N/A</v>
      </c>
      <c r="E69" s="110"/>
      <c r="F69" s="19" t="s">
        <v>142</v>
      </c>
      <c r="G69" s="16">
        <f>D81</f>
        <v>0</v>
      </c>
    </row>
    <row r="70" spans="1:7" ht="15.75" customHeight="1" x14ac:dyDescent="0.25">
      <c r="A70" s="307"/>
      <c r="B70" s="313" t="s">
        <v>13</v>
      </c>
      <c r="C70" s="310">
        <f>VLOOKUP(B70,Résultats!$B$123:$D$144,3,FALSE)</f>
        <v>0</v>
      </c>
      <c r="D70" s="311">
        <f t="shared" si="5"/>
        <v>0</v>
      </c>
      <c r="E70" s="110"/>
      <c r="F70" s="19" t="s">
        <v>24</v>
      </c>
      <c r="G70" s="16">
        <f>D85</f>
        <v>0</v>
      </c>
    </row>
    <row r="71" spans="1:7" ht="18.75" customHeight="1" x14ac:dyDescent="0.25">
      <c r="A71" s="307"/>
      <c r="B71" s="314" t="s">
        <v>23</v>
      </c>
      <c r="C71" s="315" t="e">
        <f>Résultats!C131</f>
        <v>#N/A</v>
      </c>
      <c r="D71" s="315" t="e">
        <f t="shared" si="5"/>
        <v>#N/A</v>
      </c>
      <c r="E71" s="110"/>
    </row>
    <row r="72" spans="1:7" ht="15.95" customHeight="1" x14ac:dyDescent="0.25">
      <c r="A72" s="307"/>
      <c r="B72" s="309" t="s">
        <v>369</v>
      </c>
      <c r="C72" s="310">
        <f>VLOOKUP(B72,Résultats!$B$123:$D$144,3,FALSE)</f>
        <v>0</v>
      </c>
      <c r="D72" s="311">
        <f t="shared" si="5"/>
        <v>0</v>
      </c>
      <c r="E72" s="110"/>
    </row>
    <row r="73" spans="1:7" ht="15.95" customHeight="1" x14ac:dyDescent="0.25">
      <c r="A73" s="307"/>
      <c r="B73" s="309" t="s">
        <v>358</v>
      </c>
      <c r="C73" s="310">
        <f>VLOOKUP(B73,Résultats!$B$123:$D$144,3,FALSE)</f>
        <v>0</v>
      </c>
      <c r="D73" s="311">
        <f t="shared" ref="D73" si="6">C73*$B$10/1000</f>
        <v>0</v>
      </c>
      <c r="E73" s="110"/>
    </row>
    <row r="74" spans="1:7" ht="16.5" customHeight="1" x14ac:dyDescent="0.25">
      <c r="B74" s="309" t="s">
        <v>368</v>
      </c>
      <c r="C74" s="310">
        <f>VLOOKUP(B74,Résultats!$B$123:$D$144,3,FALSE)</f>
        <v>0</v>
      </c>
      <c r="D74" s="311">
        <f t="shared" si="5"/>
        <v>0</v>
      </c>
      <c r="E74" s="110"/>
    </row>
    <row r="75" spans="1:7" ht="23.25" customHeight="1" x14ac:dyDescent="0.25">
      <c r="B75" s="309" t="s">
        <v>360</v>
      </c>
      <c r="C75" s="310">
        <f>VLOOKUP(B75,Résultats!$B$123:$D$144,3,FALSE)</f>
        <v>0</v>
      </c>
      <c r="D75" s="311">
        <f t="shared" si="5"/>
        <v>0</v>
      </c>
      <c r="E75" s="110"/>
    </row>
    <row r="76" spans="1:7" ht="24" customHeight="1" x14ac:dyDescent="0.25">
      <c r="B76" s="314" t="s">
        <v>172</v>
      </c>
      <c r="C76" s="315">
        <f>Résultats!C136</f>
        <v>0</v>
      </c>
      <c r="D76" s="315">
        <f t="shared" si="5"/>
        <v>0</v>
      </c>
      <c r="E76" s="110"/>
    </row>
    <row r="77" spans="1:7" ht="15.75" customHeight="1" x14ac:dyDescent="0.25">
      <c r="B77" s="312" t="s">
        <v>73</v>
      </c>
      <c r="C77" s="310">
        <f>VLOOKUP(B77,Résultats!$B$123:$D$144,3,FALSE)</f>
        <v>0</v>
      </c>
      <c r="D77" s="311">
        <f t="shared" si="5"/>
        <v>0</v>
      </c>
      <c r="E77" s="110"/>
    </row>
    <row r="78" spans="1:7" ht="31.5" customHeight="1" x14ac:dyDescent="0.25">
      <c r="B78" s="314" t="s">
        <v>74</v>
      </c>
      <c r="C78" s="315">
        <f>Résultats!C138</f>
        <v>0</v>
      </c>
      <c r="D78" s="315">
        <f t="shared" si="5"/>
        <v>0</v>
      </c>
      <c r="E78" s="110"/>
    </row>
    <row r="79" spans="1:7" ht="31.5" customHeight="1" x14ac:dyDescent="0.25">
      <c r="B79" s="312" t="s">
        <v>140</v>
      </c>
      <c r="C79" s="310">
        <f>VLOOKUP(B79,Résultats!$B$123:$D$144,3,FALSE)</f>
        <v>0</v>
      </c>
      <c r="D79" s="311">
        <f>C79*$B$10/1000</f>
        <v>0</v>
      </c>
      <c r="E79" s="110"/>
    </row>
    <row r="80" spans="1:7" ht="31.5" customHeight="1" x14ac:dyDescent="0.25">
      <c r="B80" s="312" t="s">
        <v>139</v>
      </c>
      <c r="C80" s="310">
        <f>VLOOKUP(B80,Résultats!$B$123:$D$144,3,FALSE)</f>
        <v>0</v>
      </c>
      <c r="D80" s="311">
        <f>C80*$B$10/1000</f>
        <v>0</v>
      </c>
      <c r="E80" s="110"/>
    </row>
    <row r="81" spans="1:5" ht="31.5" customHeight="1" x14ac:dyDescent="0.25">
      <c r="B81" s="314" t="s">
        <v>142</v>
      </c>
      <c r="C81" s="315">
        <f>Résultats!$C$141</f>
        <v>0</v>
      </c>
      <c r="D81" s="315">
        <f>C81*$B$10/1000</f>
        <v>0</v>
      </c>
      <c r="E81" s="110"/>
    </row>
    <row r="82" spans="1:5" ht="15.75" customHeight="1" x14ac:dyDescent="0.25">
      <c r="B82" s="312" t="s">
        <v>14</v>
      </c>
      <c r="C82" s="310">
        <f>VLOOKUP(B82,Résultats!$B$123:$D$144,3,FALSE)</f>
        <v>0</v>
      </c>
      <c r="D82" s="311">
        <f t="shared" si="5"/>
        <v>0</v>
      </c>
      <c r="E82" s="110"/>
    </row>
    <row r="83" spans="1:5" ht="18" customHeight="1" x14ac:dyDescent="0.25">
      <c r="B83" s="312" t="s">
        <v>63</v>
      </c>
      <c r="C83" s="310">
        <f>VLOOKUP(B83,Résultats!$B$123:$D$144,3,FALSE)</f>
        <v>0</v>
      </c>
      <c r="D83" s="311">
        <f t="shared" si="5"/>
        <v>0</v>
      </c>
      <c r="E83" s="110"/>
    </row>
    <row r="84" spans="1:5" ht="18.75" customHeight="1" x14ac:dyDescent="0.25">
      <c r="B84" s="312" t="s">
        <v>64</v>
      </c>
      <c r="C84" s="310">
        <f>VLOOKUP(B84,Résultats!$B$123:$D$144,3,FALSE)</f>
        <v>0</v>
      </c>
      <c r="D84" s="311">
        <f t="shared" si="5"/>
        <v>0</v>
      </c>
      <c r="E84" s="110"/>
    </row>
    <row r="85" spans="1:5" ht="18.75" customHeight="1" x14ac:dyDescent="0.25">
      <c r="B85" s="314" t="s">
        <v>24</v>
      </c>
      <c r="C85" s="315">
        <f>Résultats!C145</f>
        <v>0</v>
      </c>
      <c r="D85" s="315">
        <f t="shared" si="5"/>
        <v>0</v>
      </c>
      <c r="E85" s="110"/>
    </row>
    <row r="86" spans="1:5" ht="18.75" customHeight="1" x14ac:dyDescent="0.25">
      <c r="B86" s="314" t="s">
        <v>25</v>
      </c>
      <c r="C86" s="315" t="e">
        <f>Résultats!C146</f>
        <v>#N/A</v>
      </c>
      <c r="D86" s="315" t="e">
        <f t="shared" si="5"/>
        <v>#N/A</v>
      </c>
      <c r="E86" s="110"/>
    </row>
    <row r="87" spans="1:5" ht="42.95" customHeight="1" x14ac:dyDescent="0.25">
      <c r="A87" s="112"/>
      <c r="B87" s="112"/>
      <c r="C87" s="112"/>
      <c r="D87" s="112"/>
    </row>
    <row r="88" spans="1:5" ht="40.5" customHeight="1" x14ac:dyDescent="0.25">
      <c r="A88" s="477" t="s">
        <v>47</v>
      </c>
      <c r="B88" s="478" t="s">
        <v>173</v>
      </c>
      <c r="C88" s="478"/>
      <c r="D88" s="478"/>
      <c r="E88" s="110"/>
    </row>
    <row r="89" spans="1:5" ht="15" x14ac:dyDescent="0.25">
      <c r="A89" s="477"/>
      <c r="B89" s="312"/>
      <c r="C89" s="308" t="s">
        <v>59</v>
      </c>
      <c r="D89" s="308" t="s">
        <v>69</v>
      </c>
      <c r="E89" s="110"/>
    </row>
    <row r="90" spans="1:5" ht="30" x14ac:dyDescent="0.25">
      <c r="A90" s="477"/>
      <c r="B90" s="312" t="s">
        <v>175</v>
      </c>
      <c r="C90" s="344">
        <f>VLOOKUP(B90,Résultats!$B$151:$D$156,3,FALSE)</f>
        <v>0</v>
      </c>
      <c r="D90" s="311">
        <f t="shared" ref="D90:D92" si="7">C90*$B$10/1000</f>
        <v>0</v>
      </c>
      <c r="E90" s="110"/>
    </row>
    <row r="91" spans="1:5" ht="15" x14ac:dyDescent="0.25">
      <c r="A91" s="477"/>
      <c r="B91" s="312" t="s">
        <v>254</v>
      </c>
      <c r="C91" s="344">
        <f>VLOOKUP(B91,Résultats!$B$151:$D$156,3,FALSE)</f>
        <v>0</v>
      </c>
      <c r="D91" s="311">
        <f t="shared" si="7"/>
        <v>0</v>
      </c>
      <c r="E91" s="110"/>
    </row>
    <row r="92" spans="1:5" ht="15" x14ac:dyDescent="0.25">
      <c r="A92" s="477"/>
      <c r="B92" s="312" t="s">
        <v>285</v>
      </c>
      <c r="C92" s="344">
        <f>VLOOKUP(B92,Résultats!$B$151:$D$156,3,FALSE)</f>
        <v>0</v>
      </c>
      <c r="D92" s="311">
        <f t="shared" si="7"/>
        <v>0</v>
      </c>
      <c r="E92" s="110"/>
    </row>
    <row r="93" spans="1:5" ht="15" x14ac:dyDescent="0.25">
      <c r="A93" s="477"/>
      <c r="B93" s="312" t="s">
        <v>251</v>
      </c>
      <c r="C93" s="344">
        <f>VLOOKUP(B93,Résultats!$B$151:$D$156,3,FALSE)</f>
        <v>0</v>
      </c>
      <c r="D93" s="311">
        <f>C93*$B$10/1000</f>
        <v>0</v>
      </c>
      <c r="E93" s="110"/>
    </row>
    <row r="94" spans="1:5" ht="30" x14ac:dyDescent="0.25">
      <c r="A94" s="477"/>
      <c r="B94" s="312" t="s">
        <v>284</v>
      </c>
      <c r="C94" s="344">
        <f>VLOOKUP(B94,Résultats!$B$151:$D$156,3,FALSE)</f>
        <v>0</v>
      </c>
      <c r="D94" s="311">
        <f>C94*$B$10/1000</f>
        <v>0</v>
      </c>
      <c r="E94" s="110"/>
    </row>
    <row r="95" spans="1:5" ht="30" x14ac:dyDescent="0.25">
      <c r="A95" s="477"/>
      <c r="B95" s="314" t="s">
        <v>26</v>
      </c>
      <c r="C95" s="315">
        <f>Résultats!C157</f>
        <v>0</v>
      </c>
      <c r="D95" s="315">
        <f>C95*$B$10/1000</f>
        <v>0</v>
      </c>
      <c r="E95" s="110"/>
    </row>
    <row r="96" spans="1:5" ht="32.450000000000003" customHeight="1" x14ac:dyDescent="0.25">
      <c r="A96" s="112"/>
      <c r="B96" s="112"/>
      <c r="C96" s="113"/>
      <c r="D96" s="112"/>
    </row>
    <row r="97" spans="1:5" ht="48" customHeight="1" x14ac:dyDescent="0.25">
      <c r="A97" s="477" t="s">
        <v>38</v>
      </c>
      <c r="B97" s="478" t="s">
        <v>169</v>
      </c>
      <c r="C97" s="478"/>
      <c r="D97" s="478"/>
      <c r="E97" s="110"/>
    </row>
    <row r="98" spans="1:5" ht="15" x14ac:dyDescent="0.25">
      <c r="A98" s="477"/>
      <c r="B98" s="312"/>
      <c r="C98" s="308" t="s">
        <v>436</v>
      </c>
      <c r="D98" s="308" t="s">
        <v>69</v>
      </c>
      <c r="E98" s="110"/>
    </row>
    <row r="99" spans="1:5" ht="15" x14ac:dyDescent="0.25">
      <c r="A99" s="477"/>
      <c r="B99" s="312" t="s">
        <v>39</v>
      </c>
      <c r="C99" s="310">
        <f>VLOOKUP(B99,Résultats!$B$176:$D$177,3,FALSE)</f>
        <v>0</v>
      </c>
      <c r="D99" s="311">
        <f>C99*$B$10/1000</f>
        <v>0</v>
      </c>
      <c r="E99" s="110"/>
    </row>
    <row r="100" spans="1:5" ht="30" x14ac:dyDescent="0.25">
      <c r="A100" s="477"/>
      <c r="B100" s="312" t="s">
        <v>40</v>
      </c>
      <c r="C100" s="310">
        <f>VLOOKUP(B100,Résultats!$B$176:$D$177,3,FALSE)</f>
        <v>0</v>
      </c>
      <c r="D100" s="311">
        <f>C100*$B$10/1000</f>
        <v>0</v>
      </c>
      <c r="E100" s="110"/>
    </row>
    <row r="101" spans="1:5" ht="15" x14ac:dyDescent="0.25">
      <c r="A101" s="477"/>
      <c r="B101" s="314" t="s">
        <v>66</v>
      </c>
      <c r="C101" s="315">
        <f>Résultats!C178</f>
        <v>0</v>
      </c>
      <c r="D101" s="315">
        <f>C101*$B$10/1000</f>
        <v>0</v>
      </c>
      <c r="E101" s="110"/>
    </row>
    <row r="102" spans="1:5" ht="6.75" customHeight="1" x14ac:dyDescent="0.25">
      <c r="A102" s="112"/>
      <c r="B102" s="112"/>
      <c r="C102" s="113"/>
      <c r="D102" s="112"/>
    </row>
    <row r="103" spans="1:5" ht="18.95" customHeight="1" x14ac:dyDescent="0.25">
      <c r="A103" s="112"/>
      <c r="B103" s="112"/>
      <c r="C103" s="113"/>
      <c r="D103" s="112"/>
    </row>
    <row r="104" spans="1:5" ht="45.75" customHeight="1" x14ac:dyDescent="0.25">
      <c r="A104" s="479" t="s">
        <v>41</v>
      </c>
      <c r="B104" s="478" t="s">
        <v>170</v>
      </c>
      <c r="C104" s="478"/>
      <c r="D104" s="478"/>
      <c r="E104" s="110"/>
    </row>
    <row r="105" spans="1:5" ht="27" customHeight="1" x14ac:dyDescent="0.25">
      <c r="A105" s="477"/>
      <c r="B105" s="308"/>
      <c r="C105" s="308" t="s">
        <v>59</v>
      </c>
      <c r="D105" s="308" t="s">
        <v>69</v>
      </c>
      <c r="E105" s="110"/>
    </row>
    <row r="106" spans="1:5" ht="15" x14ac:dyDescent="0.25">
      <c r="A106" s="477"/>
      <c r="B106" s="314" t="s">
        <v>67</v>
      </c>
      <c r="C106" s="315">
        <f>Résultats!C183</f>
        <v>303.54545454545456</v>
      </c>
      <c r="D106" s="315">
        <f>C106*$B$10/1000</f>
        <v>44.627842690225144</v>
      </c>
      <c r="E106" s="110"/>
    </row>
    <row r="107" spans="1:5" ht="6.75" customHeight="1" x14ac:dyDescent="0.25">
      <c r="A107" s="112"/>
      <c r="B107" s="112"/>
      <c r="C107" s="113"/>
      <c r="D107" s="112"/>
    </row>
    <row r="108" spans="1:5" ht="15" x14ac:dyDescent="0.25">
      <c r="A108" s="114"/>
      <c r="B108" s="115"/>
      <c r="C108" s="114"/>
      <c r="D108" s="114"/>
    </row>
  </sheetData>
  <mergeCells count="22">
    <mergeCell ref="A1:F1"/>
    <mergeCell ref="B27:D27"/>
    <mergeCell ref="A7:B7"/>
    <mergeCell ref="B37:D37"/>
    <mergeCell ref="A24:B24"/>
    <mergeCell ref="A23:C23"/>
    <mergeCell ref="A25:B25"/>
    <mergeCell ref="D8:F10"/>
    <mergeCell ref="F63:G63"/>
    <mergeCell ref="A12:C12"/>
    <mergeCell ref="B36:D36"/>
    <mergeCell ref="A27:A35"/>
    <mergeCell ref="A37:A47"/>
    <mergeCell ref="B61:D61"/>
    <mergeCell ref="B50:D50"/>
    <mergeCell ref="B60:D60"/>
    <mergeCell ref="A88:A95"/>
    <mergeCell ref="B88:D88"/>
    <mergeCell ref="A97:A101"/>
    <mergeCell ref="B97:D97"/>
    <mergeCell ref="A104:A106"/>
    <mergeCell ref="B104:D104"/>
  </mergeCells>
  <conditionalFormatting sqref="A25:B25">
    <cfRule type="containsText" dxfId="1" priority="3" stopIfTrue="1" operator="containsText" text="gagne">
      <formula>NOT(ISERROR(SEARCH("gagne",A25)))</formula>
    </cfRule>
  </conditionalFormatting>
  <conditionalFormatting sqref="B8:B9">
    <cfRule type="containsBlanks" dxfId="0" priority="4">
      <formula>LEN(TRIM(B8))=0</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G19"/>
  <sheetViews>
    <sheetView showGridLines="0" topLeftCell="A11" workbookViewId="0">
      <selection activeCell="B10" sqref="B10:G10"/>
    </sheetView>
  </sheetViews>
  <sheetFormatPr baseColWidth="10" defaultColWidth="11.5703125" defaultRowHeight="12.75" x14ac:dyDescent="0.2"/>
  <cols>
    <col min="1" max="1" width="3.140625" style="23" customWidth="1"/>
    <col min="2" max="7" width="20.85546875" customWidth="1"/>
  </cols>
  <sheetData>
    <row r="1" spans="2:7" ht="44.45" customHeight="1" x14ac:dyDescent="0.2">
      <c r="B1" s="493" t="s">
        <v>181</v>
      </c>
      <c r="C1" s="418"/>
      <c r="D1" s="418"/>
      <c r="E1" s="418"/>
      <c r="F1" s="418"/>
      <c r="G1" s="418"/>
    </row>
    <row r="2" spans="2:7" ht="6.75" customHeight="1" x14ac:dyDescent="0.2"/>
    <row r="3" spans="2:7" ht="34.5" customHeight="1" x14ac:dyDescent="0.2"/>
    <row r="4" spans="2:7" s="23" customFormat="1" ht="34.5" customHeight="1" x14ac:dyDescent="0.2"/>
    <row r="5" spans="2:7" s="23" customFormat="1" ht="4.3499999999999996" customHeight="1" thickBot="1" x14ac:dyDescent="0.25"/>
    <row r="6" spans="2:7" ht="20.25" thickBot="1" x14ac:dyDescent="0.25">
      <c r="B6" s="487" t="s">
        <v>54</v>
      </c>
      <c r="C6" s="488"/>
      <c r="D6" s="488"/>
      <c r="E6" s="488"/>
      <c r="F6" s="488"/>
      <c r="G6" s="489"/>
    </row>
    <row r="7" spans="2:7" ht="200.25" customHeight="1" thickBot="1" x14ac:dyDescent="0.25">
      <c r="B7" s="490" t="s">
        <v>192</v>
      </c>
      <c r="C7" s="491"/>
      <c r="D7" s="491"/>
      <c r="E7" s="491"/>
      <c r="F7" s="491"/>
      <c r="G7" s="492"/>
    </row>
    <row r="8" spans="2:7" ht="6.75" customHeight="1" thickBot="1" x14ac:dyDescent="0.25">
      <c r="F8" s="123"/>
    </row>
    <row r="9" spans="2:7" ht="39.950000000000003" customHeight="1" thickBot="1" x14ac:dyDescent="0.25">
      <c r="B9" s="487" t="s">
        <v>513</v>
      </c>
      <c r="C9" s="488"/>
      <c r="D9" s="488"/>
      <c r="E9" s="488"/>
      <c r="F9" s="488"/>
      <c r="G9" s="489"/>
    </row>
    <row r="10" spans="2:7" ht="264.75" customHeight="1" thickBot="1" x14ac:dyDescent="0.25">
      <c r="B10" s="551" t="s">
        <v>514</v>
      </c>
      <c r="C10" s="552"/>
      <c r="D10" s="552"/>
      <c r="E10" s="552"/>
      <c r="F10" s="552"/>
      <c r="G10" s="553"/>
    </row>
    <row r="11" spans="2:7" s="23" customFormat="1" ht="5.45" customHeight="1" thickBot="1" x14ac:dyDescent="0.25"/>
    <row r="12" spans="2:7" s="23" customFormat="1" ht="20.25" customHeight="1" thickBot="1" x14ac:dyDescent="0.25">
      <c r="B12" s="487" t="s">
        <v>515</v>
      </c>
      <c r="C12" s="488"/>
      <c r="D12" s="488"/>
      <c r="E12" s="488"/>
      <c r="F12" s="488"/>
      <c r="G12" s="489"/>
    </row>
    <row r="13" spans="2:7" s="23" customFormat="1" ht="139.5" customHeight="1" thickBot="1" x14ac:dyDescent="0.25">
      <c r="B13" s="551" t="s">
        <v>516</v>
      </c>
      <c r="C13" s="552"/>
      <c r="D13" s="552"/>
      <c r="E13" s="552"/>
      <c r="F13" s="552"/>
      <c r="G13" s="553"/>
    </row>
    <row r="14" spans="2:7" ht="5.45" customHeight="1" thickBot="1" x14ac:dyDescent="0.25"/>
    <row r="15" spans="2:7" ht="20.25" customHeight="1" thickBot="1" x14ac:dyDescent="0.25">
      <c r="B15" s="487" t="s">
        <v>446</v>
      </c>
      <c r="C15" s="488"/>
      <c r="D15" s="488"/>
      <c r="E15" s="488"/>
      <c r="F15" s="488"/>
      <c r="G15" s="489"/>
    </row>
    <row r="16" spans="2:7" ht="62.25" customHeight="1" thickBot="1" x14ac:dyDescent="0.25">
      <c r="B16" s="551" t="s">
        <v>447</v>
      </c>
      <c r="C16" s="552"/>
      <c r="D16" s="552"/>
      <c r="E16" s="552"/>
      <c r="F16" s="552"/>
      <c r="G16" s="553"/>
    </row>
    <row r="17" spans="2:7" ht="9.9499999999999993" customHeight="1" thickBot="1" x14ac:dyDescent="0.25"/>
    <row r="18" spans="2:7" ht="20.25" thickBot="1" x14ac:dyDescent="0.25">
      <c r="B18" s="487" t="s">
        <v>122</v>
      </c>
      <c r="C18" s="488"/>
      <c r="D18" s="488"/>
      <c r="E18" s="488"/>
      <c r="F18" s="488"/>
      <c r="G18" s="489"/>
    </row>
    <row r="19" spans="2:7" ht="125.25" customHeight="1" thickBot="1" x14ac:dyDescent="0.25">
      <c r="B19" s="551" t="s">
        <v>180</v>
      </c>
      <c r="C19" s="552"/>
      <c r="D19" s="552"/>
      <c r="E19" s="552"/>
      <c r="F19" s="552"/>
      <c r="G19" s="553"/>
    </row>
  </sheetData>
  <mergeCells count="11">
    <mergeCell ref="B15:G15"/>
    <mergeCell ref="B16:G16"/>
    <mergeCell ref="B18:G18"/>
    <mergeCell ref="B19:G19"/>
    <mergeCell ref="B1:G1"/>
    <mergeCell ref="B7:G7"/>
    <mergeCell ref="B6:G6"/>
    <mergeCell ref="B9:G9"/>
    <mergeCell ref="B10:G10"/>
    <mergeCell ref="B12:G12"/>
    <mergeCell ref="B13:G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B1:I61"/>
  <sheetViews>
    <sheetView showGridLines="0" workbookViewId="0"/>
  </sheetViews>
  <sheetFormatPr baseColWidth="10" defaultColWidth="11.5703125" defaultRowHeight="12.75" x14ac:dyDescent="0.2"/>
  <cols>
    <col min="1" max="1" width="3.140625" style="23" customWidth="1"/>
    <col min="2" max="7" width="20.85546875" style="23" customWidth="1"/>
    <col min="8" max="16384" width="11.5703125" style="23"/>
  </cols>
  <sheetData>
    <row r="1" spans="2:9" ht="44.45" customHeight="1" x14ac:dyDescent="0.2">
      <c r="B1" s="493" t="s">
        <v>229</v>
      </c>
      <c r="C1" s="418"/>
      <c r="D1" s="418"/>
      <c r="E1" s="418"/>
      <c r="F1" s="418"/>
      <c r="G1" s="418"/>
    </row>
    <row r="2" spans="2:9" ht="6.75" customHeight="1" x14ac:dyDescent="0.2"/>
    <row r="3" spans="2:9" ht="34.5" customHeight="1" x14ac:dyDescent="0.2"/>
    <row r="4" spans="2:9" ht="34.5" customHeight="1" x14ac:dyDescent="0.2"/>
    <row r="5" spans="2:9" ht="4.3499999999999996" customHeight="1" x14ac:dyDescent="0.2"/>
    <row r="6" spans="2:9" ht="5.45" customHeight="1" thickBot="1" x14ac:dyDescent="0.25"/>
    <row r="7" spans="2:9" ht="19.5" x14ac:dyDescent="0.2">
      <c r="B7" s="487" t="s">
        <v>202</v>
      </c>
      <c r="C7" s="488"/>
      <c r="D7" s="488"/>
      <c r="E7" s="488"/>
      <c r="F7" s="488"/>
      <c r="G7" s="489"/>
    </row>
    <row r="8" spans="2:9" ht="63.75" customHeight="1" thickBot="1" x14ac:dyDescent="0.25">
      <c r="B8" s="494" t="s">
        <v>230</v>
      </c>
      <c r="C8" s="495"/>
      <c r="D8" s="495"/>
      <c r="E8" s="495"/>
      <c r="F8" s="495"/>
      <c r="G8" s="496"/>
    </row>
    <row r="9" spans="2:9" ht="4.7" customHeight="1" thickBot="1" x14ac:dyDescent="0.25">
      <c r="B9" s="206"/>
      <c r="C9" s="207"/>
      <c r="D9" s="203"/>
      <c r="E9" s="194"/>
      <c r="F9" s="194"/>
      <c r="G9" s="195"/>
    </row>
    <row r="10" spans="2:9" x14ac:dyDescent="0.2">
      <c r="B10" s="206"/>
      <c r="C10" s="200" t="s">
        <v>235</v>
      </c>
      <c r="D10" s="204"/>
      <c r="E10" s="194"/>
      <c r="F10" s="194"/>
      <c r="G10" s="195"/>
    </row>
    <row r="11" spans="2:9" x14ac:dyDescent="0.2">
      <c r="B11" s="206"/>
      <c r="C11" s="199" t="s">
        <v>201</v>
      </c>
      <c r="D11" s="202" t="s">
        <v>206</v>
      </c>
      <c r="E11" s="194"/>
      <c r="F11" s="194"/>
      <c r="G11" s="195"/>
    </row>
    <row r="12" spans="2:9" ht="13.5" thickBot="1" x14ac:dyDescent="0.25">
      <c r="B12" s="206"/>
      <c r="C12" s="213">
        <v>50</v>
      </c>
      <c r="D12" s="205">
        <f>C12*12/0.043</f>
        <v>13953.488372093025</v>
      </c>
      <c r="E12" s="194"/>
      <c r="F12" s="194"/>
      <c r="G12" s="195"/>
    </row>
    <row r="13" spans="2:9" ht="4.7" customHeight="1" thickBot="1" x14ac:dyDescent="0.25">
      <c r="B13" s="206"/>
      <c r="C13" s="203"/>
      <c r="D13" s="203"/>
      <c r="E13" s="194"/>
      <c r="F13" s="194"/>
      <c r="G13" s="195"/>
      <c r="I13" s="123"/>
    </row>
    <row r="14" spans="2:9" x14ac:dyDescent="0.2">
      <c r="B14" s="206"/>
      <c r="C14" s="200" t="s">
        <v>236</v>
      </c>
      <c r="D14" s="204"/>
      <c r="E14" s="194"/>
      <c r="F14" s="194"/>
      <c r="G14" s="195"/>
    </row>
    <row r="15" spans="2:9" x14ac:dyDescent="0.2">
      <c r="B15" s="206"/>
      <c r="C15" s="199" t="s">
        <v>201</v>
      </c>
      <c r="D15" s="202" t="s">
        <v>206</v>
      </c>
      <c r="E15" s="194"/>
      <c r="F15" s="194"/>
      <c r="G15" s="195"/>
    </row>
    <row r="16" spans="2:9" ht="13.5" thickBot="1" x14ac:dyDescent="0.25">
      <c r="B16" s="206"/>
      <c r="C16" s="213">
        <v>50</v>
      </c>
      <c r="D16" s="205">
        <f>C16*12/0.072</f>
        <v>8333.3333333333339</v>
      </c>
      <c r="E16" s="194"/>
      <c r="F16" s="194"/>
      <c r="G16" s="195"/>
    </row>
    <row r="17" spans="2:9" ht="4.7" customHeight="1" thickBot="1" x14ac:dyDescent="0.25">
      <c r="B17" s="206"/>
      <c r="C17" s="203"/>
      <c r="D17" s="203"/>
      <c r="E17" s="194"/>
      <c r="F17" s="194"/>
      <c r="G17" s="195"/>
    </row>
    <row r="18" spans="2:9" x14ac:dyDescent="0.2">
      <c r="B18" s="206"/>
      <c r="C18" s="200" t="s">
        <v>237</v>
      </c>
      <c r="D18" s="204"/>
      <c r="E18" s="194"/>
      <c r="F18" s="194"/>
      <c r="G18" s="195"/>
    </row>
    <row r="19" spans="2:9" x14ac:dyDescent="0.2">
      <c r="B19" s="206"/>
      <c r="C19" s="199" t="s">
        <v>201</v>
      </c>
      <c r="D19" s="202" t="s">
        <v>206</v>
      </c>
      <c r="E19" s="194"/>
      <c r="F19" s="194"/>
      <c r="G19" s="195"/>
    </row>
    <row r="20" spans="2:9" ht="13.5" thickBot="1" x14ac:dyDescent="0.25">
      <c r="B20" s="206"/>
      <c r="C20" s="213">
        <v>50</v>
      </c>
      <c r="D20" s="205">
        <f>C20*12/0.071</f>
        <v>8450.704225352114</v>
      </c>
      <c r="E20" s="194"/>
      <c r="F20" s="194"/>
      <c r="G20" s="195"/>
    </row>
    <row r="21" spans="2:9" ht="4.7" customHeight="1" thickBot="1" x14ac:dyDescent="0.25">
      <c r="B21" s="206"/>
      <c r="C21" s="203"/>
      <c r="D21" s="203"/>
      <c r="E21" s="194"/>
      <c r="F21" s="194"/>
      <c r="G21" s="195"/>
    </row>
    <row r="22" spans="2:9" x14ac:dyDescent="0.2">
      <c r="B22" s="206"/>
      <c r="C22" s="200" t="s">
        <v>203</v>
      </c>
      <c r="D22" s="201"/>
      <c r="E22" s="194"/>
      <c r="F22" s="194"/>
      <c r="G22" s="195"/>
    </row>
    <row r="23" spans="2:9" x14ac:dyDescent="0.2">
      <c r="B23" s="206"/>
      <c r="C23" s="199" t="s">
        <v>201</v>
      </c>
      <c r="D23" s="202" t="s">
        <v>206</v>
      </c>
      <c r="E23" s="194"/>
      <c r="F23" s="194"/>
      <c r="G23" s="195"/>
    </row>
    <row r="24" spans="2:9" ht="13.5" thickBot="1" x14ac:dyDescent="0.25">
      <c r="B24" s="206"/>
      <c r="C24" s="213">
        <v>200</v>
      </c>
      <c r="D24" s="205">
        <f>C24*12/0.15</f>
        <v>16000</v>
      </c>
      <c r="E24" s="194"/>
      <c r="F24" s="194"/>
      <c r="G24" s="195"/>
    </row>
    <row r="25" spans="2:9" ht="4.7" customHeight="1" thickBot="1" x14ac:dyDescent="0.25">
      <c r="B25" s="206"/>
      <c r="C25" s="207"/>
      <c r="D25" s="203"/>
      <c r="E25" s="194"/>
      <c r="F25" s="194"/>
      <c r="G25" s="195"/>
      <c r="I25" s="123"/>
    </row>
    <row r="26" spans="2:9" x14ac:dyDescent="0.2">
      <c r="B26" s="206"/>
      <c r="C26" s="200" t="s">
        <v>17</v>
      </c>
      <c r="D26" s="204"/>
      <c r="E26" s="194"/>
      <c r="F26" s="194"/>
      <c r="G26" s="195"/>
    </row>
    <row r="27" spans="2:9" x14ac:dyDescent="0.2">
      <c r="B27" s="206"/>
      <c r="C27" s="199" t="s">
        <v>201</v>
      </c>
      <c r="D27" s="202" t="s">
        <v>206</v>
      </c>
      <c r="E27" s="194"/>
      <c r="F27" s="194"/>
      <c r="G27" s="195"/>
    </row>
    <row r="28" spans="2:9" ht="13.5" thickBot="1" x14ac:dyDescent="0.25">
      <c r="B28" s="206"/>
      <c r="C28" s="213">
        <v>200</v>
      </c>
      <c r="D28" s="205">
        <f>C28*12/0.07</f>
        <v>34285.714285714283</v>
      </c>
      <c r="E28" s="194"/>
      <c r="F28" s="194"/>
      <c r="G28" s="195"/>
    </row>
    <row r="29" spans="2:9" ht="4.7" customHeight="1" thickBot="1" x14ac:dyDescent="0.25">
      <c r="B29" s="206"/>
      <c r="C29" s="207"/>
      <c r="D29" s="203"/>
      <c r="E29" s="194"/>
      <c r="F29" s="194"/>
      <c r="G29" s="195"/>
      <c r="I29" s="123"/>
    </row>
    <row r="30" spans="2:9" x14ac:dyDescent="0.2">
      <c r="B30" s="206"/>
      <c r="C30" s="200" t="s">
        <v>238</v>
      </c>
      <c r="D30" s="204"/>
      <c r="E30" s="194"/>
      <c r="F30" s="194"/>
      <c r="G30" s="195"/>
    </row>
    <row r="31" spans="2:9" x14ac:dyDescent="0.2">
      <c r="B31" s="206"/>
      <c r="C31" s="199" t="s">
        <v>201</v>
      </c>
      <c r="D31" s="202" t="s">
        <v>206</v>
      </c>
      <c r="E31" s="194"/>
      <c r="F31" s="194"/>
      <c r="G31" s="195"/>
    </row>
    <row r="32" spans="2:9" ht="13.5" thickBot="1" x14ac:dyDescent="0.25">
      <c r="B32" s="206"/>
      <c r="C32" s="213">
        <v>50</v>
      </c>
      <c r="D32" s="205">
        <f>C32*12/0.161</f>
        <v>3726.7080745341614</v>
      </c>
      <c r="E32" s="194"/>
      <c r="F32" s="194"/>
      <c r="G32" s="195"/>
    </row>
    <row r="33" spans="2:7" ht="4.7" customHeight="1" thickBot="1" x14ac:dyDescent="0.25">
      <c r="B33" s="206"/>
      <c r="C33" s="207"/>
      <c r="D33" s="203"/>
      <c r="E33" s="194"/>
      <c r="F33" s="194"/>
      <c r="G33" s="195"/>
    </row>
    <row r="34" spans="2:7" x14ac:dyDescent="0.2">
      <c r="B34" s="206"/>
      <c r="C34" s="200" t="s">
        <v>85</v>
      </c>
      <c r="D34" s="204"/>
      <c r="E34" s="194"/>
      <c r="F34" s="194"/>
      <c r="G34" s="195"/>
    </row>
    <row r="35" spans="2:7" x14ac:dyDescent="0.2">
      <c r="B35" s="206"/>
      <c r="C35" s="199" t="s">
        <v>201</v>
      </c>
      <c r="D35" s="202" t="s">
        <v>206</v>
      </c>
      <c r="E35" s="194"/>
      <c r="F35" s="194"/>
      <c r="G35" s="195"/>
    </row>
    <row r="36" spans="2:7" ht="13.5" thickBot="1" x14ac:dyDescent="0.25">
      <c r="B36" s="206"/>
      <c r="C36" s="213">
        <v>50</v>
      </c>
      <c r="D36" s="205">
        <f>C36*12/0.074</f>
        <v>8108.1081081081084</v>
      </c>
      <c r="E36" s="194"/>
      <c r="F36" s="194"/>
      <c r="G36" s="195"/>
    </row>
    <row r="37" spans="2:7" ht="4.7" customHeight="1" thickBot="1" x14ac:dyDescent="0.25">
      <c r="B37" s="196"/>
      <c r="C37" s="197"/>
      <c r="D37" s="197"/>
      <c r="E37" s="197"/>
      <c r="F37" s="197"/>
      <c r="G37" s="198"/>
    </row>
    <row r="40" spans="2:7" x14ac:dyDescent="0.2">
      <c r="B40" s="4" t="s">
        <v>232</v>
      </c>
    </row>
    <row r="61" spans="2:2" x14ac:dyDescent="0.2">
      <c r="B61" s="4" t="s">
        <v>233</v>
      </c>
    </row>
  </sheetData>
  <mergeCells count="3">
    <mergeCell ref="B8:G8"/>
    <mergeCell ref="B1:G1"/>
    <mergeCell ref="B7:G7"/>
  </mergeCells>
  <hyperlinks>
    <hyperlink ref="B40" r:id="rId1" xr:uid="{00000000-0004-0000-0700-000000000000}"/>
    <hyperlink ref="B61" r:id="rId2" xr:uid="{00000000-0004-0000-0700-000001000000}"/>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110"/>
  <sheetViews>
    <sheetView showGridLines="0" zoomScale="80" zoomScaleNormal="80" workbookViewId="0">
      <pane xSplit="1" ySplit="7" topLeftCell="C8" activePane="bottomRight" state="frozen"/>
      <selection pane="topRight" activeCell="B1" sqref="B1"/>
      <selection pane="bottomLeft" activeCell="A7" sqref="A7"/>
      <selection pane="bottomRight" activeCell="C75" sqref="C75:C76"/>
    </sheetView>
  </sheetViews>
  <sheetFormatPr baseColWidth="10" defaultColWidth="11.42578125" defaultRowHeight="12.75" x14ac:dyDescent="0.2"/>
  <cols>
    <col min="1" max="1" width="37.42578125" style="122" customWidth="1"/>
    <col min="2" max="2" width="18.42578125" style="7" hidden="1" customWidth="1"/>
    <col min="3" max="3" width="17" style="7" customWidth="1"/>
    <col min="4" max="4" width="18.5703125" style="7" bestFit="1" customWidth="1"/>
    <col min="5" max="5" width="58.42578125" style="7" customWidth="1"/>
    <col min="6" max="6" width="37.42578125" style="7" customWidth="1"/>
    <col min="7" max="9" width="11.42578125" style="7"/>
    <col min="10" max="10" width="12.5703125" style="7" customWidth="1"/>
    <col min="11" max="16384" width="11.42578125" style="7"/>
  </cols>
  <sheetData>
    <row r="1" spans="1:6" ht="38.450000000000003" customHeight="1" x14ac:dyDescent="0.2">
      <c r="A1" s="499" t="s">
        <v>215</v>
      </c>
      <c r="B1" s="499"/>
      <c r="C1" s="499"/>
      <c r="D1" s="499"/>
      <c r="E1" s="499"/>
    </row>
    <row r="2" spans="1:6" ht="24.75" customHeight="1" x14ac:dyDescent="0.2"/>
    <row r="3" spans="1:6" ht="24.75" customHeight="1" x14ac:dyDescent="0.2"/>
    <row r="5" spans="1:6" x14ac:dyDescent="0.2">
      <c r="A5" s="124"/>
      <c r="B5" s="504" t="s">
        <v>214</v>
      </c>
      <c r="C5" s="504"/>
      <c r="D5" s="504"/>
      <c r="E5" s="504"/>
      <c r="F5" s="125"/>
    </row>
    <row r="6" spans="1:6" ht="22.5" x14ac:dyDescent="0.2">
      <c r="A6" s="500" t="s">
        <v>48</v>
      </c>
      <c r="B6" s="501" t="s">
        <v>145</v>
      </c>
      <c r="C6" s="501"/>
      <c r="D6" s="501"/>
      <c r="E6" s="501" t="s">
        <v>49</v>
      </c>
      <c r="F6" s="501"/>
    </row>
    <row r="7" spans="1:6" ht="21" x14ac:dyDescent="0.2">
      <c r="A7" s="500"/>
      <c r="B7" s="211" t="s">
        <v>326</v>
      </c>
      <c r="C7" s="211" t="s">
        <v>325</v>
      </c>
      <c r="D7" s="212" t="s">
        <v>86</v>
      </c>
      <c r="E7" s="212" t="s">
        <v>82</v>
      </c>
      <c r="F7" s="212" t="s">
        <v>83</v>
      </c>
    </row>
    <row r="8" spans="1:6" ht="23.25" thickBot="1" x14ac:dyDescent="0.25">
      <c r="A8" s="126" t="s">
        <v>1</v>
      </c>
      <c r="B8" s="127"/>
      <c r="C8" s="127"/>
      <c r="D8" s="127"/>
      <c r="E8" s="127"/>
      <c r="F8" s="127"/>
    </row>
    <row r="9" spans="1:6" ht="26.25" thickBot="1" x14ac:dyDescent="0.25">
      <c r="A9" s="281" t="s">
        <v>376</v>
      </c>
      <c r="B9" s="248">
        <f>C9*12/44</f>
        <v>4.7727272727272725</v>
      </c>
      <c r="C9" s="133">
        <f>525/30</f>
        <v>17.5</v>
      </c>
      <c r="D9" s="229" t="s">
        <v>377</v>
      </c>
      <c r="E9" s="140" t="s">
        <v>378</v>
      </c>
      <c r="F9" s="542" t="s">
        <v>465</v>
      </c>
    </row>
    <row r="10" spans="1:6" ht="15.75" customHeight="1" thickBot="1" x14ac:dyDescent="0.25">
      <c r="A10" s="128" t="s">
        <v>16</v>
      </c>
      <c r="B10" s="502"/>
      <c r="C10" s="502"/>
      <c r="D10" s="502"/>
      <c r="E10" s="502"/>
      <c r="F10" s="502"/>
    </row>
    <row r="11" spans="1:6" ht="15.75" thickBot="1" x14ac:dyDescent="0.25">
      <c r="A11" s="129" t="s">
        <v>50</v>
      </c>
      <c r="B11" s="248">
        <f>C11*12/44</f>
        <v>1.5572727272727273E-2</v>
      </c>
      <c r="C11" s="248">
        <v>5.7099999999999998E-2</v>
      </c>
      <c r="D11" s="229" t="s">
        <v>283</v>
      </c>
      <c r="E11" s="140" t="s">
        <v>282</v>
      </c>
      <c r="F11" s="542" t="s">
        <v>465</v>
      </c>
    </row>
    <row r="12" spans="1:6" ht="128.25" thickBot="1" x14ac:dyDescent="0.25">
      <c r="A12" s="546" t="s">
        <v>30</v>
      </c>
      <c r="B12" s="251">
        <f>C12*12/44</f>
        <v>3.3818181818181816E-3</v>
      </c>
      <c r="C12" s="248">
        <f>12.4/1000</f>
        <v>1.24E-2</v>
      </c>
      <c r="D12" s="229" t="s">
        <v>283</v>
      </c>
      <c r="E12" s="140" t="s">
        <v>457</v>
      </c>
      <c r="F12" s="544" t="s">
        <v>443</v>
      </c>
    </row>
    <row r="13" spans="1:6" ht="15.75" customHeight="1" thickBot="1" x14ac:dyDescent="0.25">
      <c r="A13" s="128" t="s">
        <v>278</v>
      </c>
      <c r="B13" s="503"/>
      <c r="C13" s="503"/>
      <c r="D13" s="503"/>
      <c r="E13" s="503"/>
      <c r="F13" s="505"/>
    </row>
    <row r="14" spans="1:6" ht="26.25" thickBot="1" x14ac:dyDescent="0.25">
      <c r="A14" s="134" t="s">
        <v>85</v>
      </c>
      <c r="B14" s="230">
        <f>C14*12/44</f>
        <v>6.1909090909090914E-2</v>
      </c>
      <c r="C14" s="230">
        <v>0.22700000000000001</v>
      </c>
      <c r="D14" s="131" t="s">
        <v>275</v>
      </c>
      <c r="E14" s="140" t="s">
        <v>270</v>
      </c>
      <c r="F14" s="4" t="s">
        <v>465</v>
      </c>
    </row>
    <row r="15" spans="1:6" ht="15.75" thickBot="1" x14ac:dyDescent="0.25">
      <c r="A15" s="134" t="s">
        <v>17</v>
      </c>
      <c r="B15" s="248">
        <f t="shared" ref="B15:B17" si="0">C15*12/44</f>
        <v>8.8363636363636366E-2</v>
      </c>
      <c r="C15" s="230">
        <v>0.32400000000000001</v>
      </c>
      <c r="D15" s="229" t="s">
        <v>275</v>
      </c>
      <c r="E15" s="140" t="s">
        <v>277</v>
      </c>
      <c r="F15" s="4" t="s">
        <v>465</v>
      </c>
    </row>
    <row r="16" spans="1:6" ht="15.75" thickBot="1" x14ac:dyDescent="0.25">
      <c r="A16" s="134" t="s">
        <v>238</v>
      </c>
      <c r="B16" s="248">
        <f t="shared" si="0"/>
        <v>7.3636363636363639E-2</v>
      </c>
      <c r="C16" s="230">
        <v>0.27</v>
      </c>
      <c r="D16" s="229" t="s">
        <v>275</v>
      </c>
      <c r="E16" s="140" t="s">
        <v>280</v>
      </c>
      <c r="F16" s="4" t="s">
        <v>465</v>
      </c>
    </row>
    <row r="17" spans="1:6" ht="39" thickBot="1" x14ac:dyDescent="0.25">
      <c r="A17" s="134" t="s">
        <v>267</v>
      </c>
      <c r="B17" s="248">
        <f t="shared" si="0"/>
        <v>1.5545454545454545E-2</v>
      </c>
      <c r="C17" s="230">
        <f>C14-0.17</f>
        <v>5.6999999999999995E-2</v>
      </c>
      <c r="D17" s="229" t="s">
        <v>275</v>
      </c>
      <c r="E17" s="140" t="s">
        <v>279</v>
      </c>
      <c r="F17" s="215" t="s">
        <v>268</v>
      </c>
    </row>
    <row r="18" spans="1:6" ht="15.75" thickBot="1" x14ac:dyDescent="0.25">
      <c r="A18" s="134" t="s">
        <v>272</v>
      </c>
      <c r="B18" s="248">
        <f>C18*12/44</f>
        <v>8.2909090909090918E-3</v>
      </c>
      <c r="C18" s="248">
        <v>3.04E-2</v>
      </c>
      <c r="D18" s="229" t="s">
        <v>276</v>
      </c>
      <c r="E18" s="140" t="s">
        <v>273</v>
      </c>
      <c r="F18" s="4" t="s">
        <v>465</v>
      </c>
    </row>
    <row r="19" spans="1:6" ht="15.75" thickBot="1" x14ac:dyDescent="0.25">
      <c r="A19" s="134" t="s">
        <v>263</v>
      </c>
      <c r="B19" s="248">
        <f>C19*12/44</f>
        <v>8.0454545454545449E-3</v>
      </c>
      <c r="C19" s="248">
        <v>2.9499999999999998E-2</v>
      </c>
      <c r="D19" s="229" t="s">
        <v>276</v>
      </c>
      <c r="E19" s="140" t="s">
        <v>274</v>
      </c>
      <c r="F19" s="4" t="s">
        <v>465</v>
      </c>
    </row>
    <row r="20" spans="1:6" ht="23.25" thickBot="1" x14ac:dyDescent="0.25">
      <c r="A20" s="126" t="s">
        <v>2</v>
      </c>
      <c r="B20" s="135"/>
      <c r="C20" s="135"/>
      <c r="D20" s="135"/>
      <c r="E20" s="136"/>
      <c r="F20" s="137"/>
    </row>
    <row r="21" spans="1:6" ht="128.25" thickBot="1" x14ac:dyDescent="0.25">
      <c r="A21" s="128" t="s">
        <v>460</v>
      </c>
      <c r="B21" s="276">
        <f t="shared" ref="B21:B26" si="1">C21*12/44</f>
        <v>1909.090909090909</v>
      </c>
      <c r="C21" s="367">
        <v>7000</v>
      </c>
      <c r="D21" s="229" t="s">
        <v>461</v>
      </c>
      <c r="E21" s="140" t="s">
        <v>458</v>
      </c>
      <c r="F21" s="544" t="s">
        <v>459</v>
      </c>
    </row>
    <row r="22" spans="1:6" ht="128.25" thickBot="1" x14ac:dyDescent="0.25">
      <c r="A22" s="128" t="s">
        <v>463</v>
      </c>
      <c r="B22" s="276">
        <f t="shared" si="1"/>
        <v>3272.7272727272725</v>
      </c>
      <c r="C22" s="367">
        <v>12000</v>
      </c>
      <c r="D22" s="229" t="s">
        <v>461</v>
      </c>
      <c r="E22" s="140" t="s">
        <v>486</v>
      </c>
      <c r="F22" s="544" t="s">
        <v>459</v>
      </c>
    </row>
    <row r="23" spans="1:6" ht="26.25" thickBot="1" x14ac:dyDescent="0.25">
      <c r="A23" s="128" t="s">
        <v>29</v>
      </c>
      <c r="B23" s="276">
        <f t="shared" si="1"/>
        <v>0.79090909090909089</v>
      </c>
      <c r="C23" s="275">
        <v>2.9</v>
      </c>
      <c r="D23" s="131" t="s">
        <v>330</v>
      </c>
      <c r="E23" s="140" t="s">
        <v>329</v>
      </c>
      <c r="F23" s="542" t="s">
        <v>465</v>
      </c>
    </row>
    <row r="24" spans="1:6" ht="30" customHeight="1" thickBot="1" x14ac:dyDescent="0.25">
      <c r="A24" s="128" t="s">
        <v>288</v>
      </c>
      <c r="B24" s="248">
        <f t="shared" si="1"/>
        <v>5.4000000000000012E-3</v>
      </c>
      <c r="C24" s="230">
        <v>1.9800000000000002E-2</v>
      </c>
      <c r="D24" s="229" t="s">
        <v>289</v>
      </c>
      <c r="E24" s="140" t="s">
        <v>492</v>
      </c>
      <c r="F24" s="542" t="s">
        <v>465</v>
      </c>
    </row>
    <row r="25" spans="1:6" ht="77.25" thickBot="1" x14ac:dyDescent="0.25">
      <c r="A25" s="128" t="s">
        <v>331</v>
      </c>
      <c r="B25" s="272">
        <f t="shared" si="1"/>
        <v>0.68363636363636371</v>
      </c>
      <c r="C25" s="272">
        <f>1.84+0.04*100/6</f>
        <v>2.5066666666666668</v>
      </c>
      <c r="D25" s="280" t="s">
        <v>330</v>
      </c>
      <c r="E25" s="140" t="s">
        <v>79</v>
      </c>
      <c r="F25" s="542" t="s">
        <v>465</v>
      </c>
    </row>
    <row r="26" spans="1:6" ht="26.25" thickBot="1" x14ac:dyDescent="0.25">
      <c r="A26" s="128" t="s">
        <v>72</v>
      </c>
      <c r="B26" s="233">
        <f t="shared" si="1"/>
        <v>5.5636363636363637E-2</v>
      </c>
      <c r="C26" s="233">
        <v>0.20399999999999999</v>
      </c>
      <c r="D26" s="131" t="s">
        <v>289</v>
      </c>
      <c r="E26" s="140" t="s">
        <v>332</v>
      </c>
      <c r="F26" s="542" t="s">
        <v>465</v>
      </c>
    </row>
    <row r="27" spans="1:6" ht="39" thickBot="1" x14ac:dyDescent="0.25">
      <c r="A27" s="128" t="s">
        <v>466</v>
      </c>
      <c r="B27" s="358"/>
      <c r="C27" s="355">
        <f>0.0367*100000</f>
        <v>3670.0000000000005</v>
      </c>
      <c r="D27" s="356" t="s">
        <v>461</v>
      </c>
      <c r="E27" s="354" t="s">
        <v>464</v>
      </c>
      <c r="F27" s="542" t="s">
        <v>465</v>
      </c>
    </row>
    <row r="28" spans="1:6" ht="39" thickBot="1" x14ac:dyDescent="0.25">
      <c r="A28" s="508" t="s">
        <v>18</v>
      </c>
      <c r="B28" s="509">
        <f>C28*12/44</f>
        <v>51.340909090909093</v>
      </c>
      <c r="C28" s="509">
        <f>0.251*750</f>
        <v>188.25</v>
      </c>
      <c r="D28" s="511" t="s">
        <v>87</v>
      </c>
      <c r="E28" s="506" t="s">
        <v>77</v>
      </c>
      <c r="F28" s="214" t="s">
        <v>224</v>
      </c>
    </row>
    <row r="29" spans="1:6" ht="26.45" customHeight="1" thickBot="1" x14ac:dyDescent="0.25">
      <c r="A29" s="508"/>
      <c r="B29" s="510"/>
      <c r="C29" s="510"/>
      <c r="D29" s="512"/>
      <c r="E29" s="507"/>
      <c r="F29" s="542" t="s">
        <v>465</v>
      </c>
    </row>
    <row r="30" spans="1:6" ht="29.25" thickBot="1" x14ac:dyDescent="0.25">
      <c r="A30" s="128" t="s">
        <v>3</v>
      </c>
      <c r="B30" s="138">
        <f>C30*12/44</f>
        <v>1.5272727272727272E-3</v>
      </c>
      <c r="C30" s="131">
        <f>5.6*10^-3</f>
        <v>5.5999999999999999E-3</v>
      </c>
      <c r="D30" s="132" t="s">
        <v>335</v>
      </c>
      <c r="E30" s="140" t="s">
        <v>334</v>
      </c>
      <c r="F30" s="542" t="s">
        <v>465</v>
      </c>
    </row>
    <row r="31" spans="1:6" ht="15.75" customHeight="1" thickBot="1" x14ac:dyDescent="0.25">
      <c r="A31" s="128" t="s">
        <v>4</v>
      </c>
      <c r="B31" s="503"/>
      <c r="C31" s="503"/>
      <c r="D31" s="503"/>
      <c r="E31" s="503"/>
      <c r="F31" s="503"/>
    </row>
    <row r="32" spans="1:6" ht="51.75" thickBot="1" x14ac:dyDescent="0.25">
      <c r="A32" s="513" t="s">
        <v>5</v>
      </c>
      <c r="B32" s="515">
        <f>C32*12/44</f>
        <v>0.54327272727272724</v>
      </c>
      <c r="C32" s="517">
        <f>0.166*12</f>
        <v>1.992</v>
      </c>
      <c r="D32" s="511" t="s">
        <v>88</v>
      </c>
      <c r="E32" s="506" t="s">
        <v>338</v>
      </c>
      <c r="F32" s="545" t="s">
        <v>223</v>
      </c>
    </row>
    <row r="33" spans="1:6" ht="13.5" thickBot="1" x14ac:dyDescent="0.25">
      <c r="A33" s="514"/>
      <c r="B33" s="516"/>
      <c r="C33" s="518"/>
      <c r="D33" s="512"/>
      <c r="E33" s="507"/>
      <c r="F33" s="545" t="s">
        <v>84</v>
      </c>
    </row>
    <row r="34" spans="1:6" ht="39" thickBot="1" x14ac:dyDescent="0.25">
      <c r="A34" s="519" t="s">
        <v>6</v>
      </c>
      <c r="B34" s="521">
        <f>C34*12/44</f>
        <v>4.5204545454545449E-2</v>
      </c>
      <c r="C34" s="521">
        <f>0.00663*25</f>
        <v>0.16574999999999998</v>
      </c>
      <c r="D34" s="511" t="s">
        <v>88</v>
      </c>
      <c r="E34" s="506" t="s">
        <v>337</v>
      </c>
      <c r="F34" s="545" t="s">
        <v>225</v>
      </c>
    </row>
    <row r="35" spans="1:6" ht="13.5" thickBot="1" x14ac:dyDescent="0.25">
      <c r="A35" s="520"/>
      <c r="B35" s="522"/>
      <c r="C35" s="522"/>
      <c r="D35" s="512"/>
      <c r="E35" s="507"/>
      <c r="F35" s="383" t="s">
        <v>465</v>
      </c>
    </row>
    <row r="36" spans="1:6" ht="22.5" x14ac:dyDescent="0.2">
      <c r="A36" s="126" t="s">
        <v>7</v>
      </c>
      <c r="B36" s="135"/>
      <c r="C36" s="135"/>
      <c r="D36" s="135"/>
      <c r="E36" s="136"/>
      <c r="F36" s="136"/>
    </row>
    <row r="37" spans="1:6" ht="15.75" customHeight="1" thickBot="1" x14ac:dyDescent="0.25">
      <c r="A37" s="128" t="s">
        <v>90</v>
      </c>
      <c r="B37" s="503"/>
      <c r="C37" s="503"/>
      <c r="D37" s="503"/>
      <c r="E37" s="503"/>
      <c r="F37" s="503"/>
    </row>
    <row r="38" spans="1:6" ht="39" thickBot="1" x14ac:dyDescent="0.25">
      <c r="A38" s="58" t="s">
        <v>129</v>
      </c>
      <c r="B38" s="272">
        <f>C38*12/44</f>
        <v>7.8000000000000007</v>
      </c>
      <c r="C38" s="272">
        <v>28.6</v>
      </c>
      <c r="D38" s="229" t="s">
        <v>352</v>
      </c>
      <c r="E38" s="140" t="s">
        <v>353</v>
      </c>
      <c r="F38" s="541" t="s">
        <v>465</v>
      </c>
    </row>
    <row r="39" spans="1:6" ht="39" thickBot="1" x14ac:dyDescent="0.25">
      <c r="A39" s="134" t="s">
        <v>9</v>
      </c>
      <c r="B39" s="133">
        <f>C39*12/44</f>
        <v>1.6063636363636362</v>
      </c>
      <c r="C39" s="133">
        <v>5.89</v>
      </c>
      <c r="D39" s="131" t="s">
        <v>352</v>
      </c>
      <c r="E39" s="140" t="s">
        <v>351</v>
      </c>
      <c r="F39" s="541" t="s">
        <v>465</v>
      </c>
    </row>
    <row r="40" spans="1:6" ht="51.75" thickBot="1" x14ac:dyDescent="0.25">
      <c r="A40" s="134" t="s">
        <v>51</v>
      </c>
      <c r="B40" s="133">
        <f>C40*12/44</f>
        <v>1.2954545454545454</v>
      </c>
      <c r="C40" s="133">
        <v>4.75</v>
      </c>
      <c r="D40" s="229" t="s">
        <v>352</v>
      </c>
      <c r="E40" s="140" t="s">
        <v>354</v>
      </c>
      <c r="F40" s="541" t="s">
        <v>465</v>
      </c>
    </row>
    <row r="41" spans="1:6" ht="39" thickBot="1" x14ac:dyDescent="0.25">
      <c r="A41" s="134" t="s">
        <v>10</v>
      </c>
      <c r="B41" s="133">
        <f>C41*12/44</f>
        <v>2.6154545454545453</v>
      </c>
      <c r="C41" s="133">
        <v>9.59</v>
      </c>
      <c r="D41" s="229" t="s">
        <v>352</v>
      </c>
      <c r="E41" s="140" t="s">
        <v>355</v>
      </c>
      <c r="F41" s="541" t="s">
        <v>465</v>
      </c>
    </row>
    <row r="42" spans="1:6" ht="15.75" customHeight="1" thickBot="1" x14ac:dyDescent="0.25">
      <c r="A42" s="128" t="s">
        <v>12</v>
      </c>
      <c r="B42" s="503"/>
      <c r="C42" s="503"/>
      <c r="D42" s="503"/>
      <c r="E42" s="503"/>
      <c r="F42" s="503"/>
    </row>
    <row r="43" spans="1:6" ht="102.75" thickBot="1" x14ac:dyDescent="0.25">
      <c r="A43" s="221" t="s">
        <v>91</v>
      </c>
      <c r="B43" s="139">
        <f>C43*12/44</f>
        <v>1.3636363636363635</v>
      </c>
      <c r="C43" s="548">
        <f>5</f>
        <v>5</v>
      </c>
      <c r="D43" s="131" t="s">
        <v>356</v>
      </c>
      <c r="E43" s="140" t="s">
        <v>323</v>
      </c>
      <c r="F43" s="542" t="s">
        <v>465</v>
      </c>
    </row>
    <row r="44" spans="1:6" ht="26.25" thickBot="1" x14ac:dyDescent="0.25">
      <c r="A44" s="221" t="s">
        <v>511</v>
      </c>
      <c r="B44" s="273">
        <f>C44*12/44</f>
        <v>0.78545454545454552</v>
      </c>
      <c r="C44" s="133">
        <v>2.88</v>
      </c>
      <c r="D44" s="131" t="s">
        <v>322</v>
      </c>
      <c r="E44" s="140" t="s">
        <v>327</v>
      </c>
      <c r="F44" s="542" t="s">
        <v>465</v>
      </c>
    </row>
    <row r="45" spans="1:6" ht="39" thickBot="1" x14ac:dyDescent="0.25">
      <c r="A45" s="221" t="s">
        <v>13</v>
      </c>
      <c r="B45" s="273">
        <f>C45*12/44</f>
        <v>0.33272727272727276</v>
      </c>
      <c r="C45" s="133">
        <v>1.22</v>
      </c>
      <c r="D45" s="131" t="s">
        <v>320</v>
      </c>
      <c r="E45" s="140" t="s">
        <v>324</v>
      </c>
      <c r="F45" s="542" t="s">
        <v>465</v>
      </c>
    </row>
    <row r="46" spans="1:6" ht="15.75" customHeight="1" thickBot="1" x14ac:dyDescent="0.25">
      <c r="A46" s="128" t="s">
        <v>33</v>
      </c>
      <c r="B46" s="503"/>
      <c r="C46" s="503"/>
      <c r="D46" s="503"/>
      <c r="E46" s="503"/>
      <c r="F46" s="503"/>
    </row>
    <row r="47" spans="1:6" ht="39" thickBot="1" x14ac:dyDescent="0.25">
      <c r="A47" s="129" t="s">
        <v>370</v>
      </c>
      <c r="B47" s="133">
        <f>C47*12/44</f>
        <v>0.61090909090909096</v>
      </c>
      <c r="C47" s="133">
        <v>2.2400000000000002</v>
      </c>
      <c r="D47" s="229" t="s">
        <v>322</v>
      </c>
      <c r="E47" s="140" t="s">
        <v>362</v>
      </c>
      <c r="F47" s="541" t="s">
        <v>465</v>
      </c>
    </row>
    <row r="48" spans="1:6" ht="39" thickBot="1" x14ac:dyDescent="0.25">
      <c r="A48" s="384" t="s">
        <v>46</v>
      </c>
      <c r="B48" s="130">
        <f>C48*12/44</f>
        <v>5.9727272727272718</v>
      </c>
      <c r="C48" s="130">
        <v>21.9</v>
      </c>
      <c r="D48" s="229" t="s">
        <v>322</v>
      </c>
      <c r="E48" s="140" t="s">
        <v>363</v>
      </c>
      <c r="F48" s="214" t="s">
        <v>75</v>
      </c>
    </row>
    <row r="49" spans="1:6" ht="39" thickBot="1" x14ac:dyDescent="0.25">
      <c r="A49" s="543" t="s">
        <v>364</v>
      </c>
      <c r="B49" s="139">
        <f>C49*12/44</f>
        <v>0.18</v>
      </c>
      <c r="C49" s="272">
        <f>0.66</f>
        <v>0.66</v>
      </c>
      <c r="D49" s="229" t="s">
        <v>322</v>
      </c>
      <c r="E49" s="140" t="s">
        <v>365</v>
      </c>
      <c r="F49" s="215"/>
    </row>
    <row r="50" spans="1:6" ht="39" thickBot="1" x14ac:dyDescent="0.25">
      <c r="A50" s="543" t="s">
        <v>360</v>
      </c>
      <c r="B50" s="274">
        <f>C50*12/44</f>
        <v>7.2818181818181824E-2</v>
      </c>
      <c r="C50" s="271">
        <v>0.26700000000000002</v>
      </c>
      <c r="D50" s="229" t="s">
        <v>322</v>
      </c>
      <c r="E50" s="140" t="s">
        <v>361</v>
      </c>
      <c r="F50" s="542" t="s">
        <v>465</v>
      </c>
    </row>
    <row r="51" spans="1:6" ht="64.5" thickBot="1" x14ac:dyDescent="0.25">
      <c r="A51" s="543" t="s">
        <v>73</v>
      </c>
      <c r="B51" s="273">
        <f>C51*12/44</f>
        <v>0.75436363636363635</v>
      </c>
      <c r="C51" s="133">
        <v>2.766</v>
      </c>
      <c r="D51" s="229" t="s">
        <v>322</v>
      </c>
      <c r="E51" s="140" t="s">
        <v>81</v>
      </c>
      <c r="F51" s="214" t="s">
        <v>80</v>
      </c>
    </row>
    <row r="52" spans="1:6" ht="15.75" customHeight="1" thickBot="1" x14ac:dyDescent="0.25">
      <c r="A52" s="128" t="s">
        <v>141</v>
      </c>
      <c r="B52" s="503"/>
      <c r="C52" s="503"/>
      <c r="D52" s="503"/>
      <c r="E52" s="503"/>
      <c r="F52" s="503"/>
    </row>
    <row r="53" spans="1:6" ht="39" thickBot="1" x14ac:dyDescent="0.25">
      <c r="A53" s="53" t="s">
        <v>448</v>
      </c>
      <c r="B53" s="141">
        <f>C53*12/44</f>
        <v>0.40363636363636357</v>
      </c>
      <c r="C53" s="141">
        <f>1.48</f>
        <v>1.48</v>
      </c>
      <c r="D53" s="229" t="s">
        <v>322</v>
      </c>
      <c r="E53" s="142" t="s">
        <v>366</v>
      </c>
      <c r="F53" s="541" t="s">
        <v>465</v>
      </c>
    </row>
    <row r="54" spans="1:6" ht="39" thickBot="1" x14ac:dyDescent="0.25">
      <c r="A54" s="35" t="s">
        <v>449</v>
      </c>
      <c r="B54" s="141">
        <f>C54*12/44</f>
        <v>1.1536363636363638</v>
      </c>
      <c r="C54" s="141">
        <v>4.2300000000000004</v>
      </c>
      <c r="D54" s="229" t="s">
        <v>322</v>
      </c>
      <c r="E54" s="143" t="s">
        <v>367</v>
      </c>
      <c r="F54" s="541" t="s">
        <v>465</v>
      </c>
    </row>
    <row r="55" spans="1:6" ht="15.75" thickBot="1" x14ac:dyDescent="0.25">
      <c r="A55" s="128" t="s">
        <v>34</v>
      </c>
      <c r="B55" s="503"/>
      <c r="C55" s="503"/>
      <c r="D55" s="503"/>
      <c r="E55" s="503"/>
      <c r="F55" s="503"/>
    </row>
    <row r="56" spans="1:6" ht="26.25" thickBot="1" x14ac:dyDescent="0.25">
      <c r="A56" s="134" t="s">
        <v>319</v>
      </c>
      <c r="B56" s="130">
        <f>C56*12/44</f>
        <v>0.54545454545454541</v>
      </c>
      <c r="C56" s="130">
        <v>2</v>
      </c>
      <c r="D56" s="131" t="s">
        <v>320</v>
      </c>
      <c r="E56" s="140" t="s">
        <v>321</v>
      </c>
      <c r="F56" s="541" t="s">
        <v>465</v>
      </c>
    </row>
    <row r="57" spans="1:6" ht="26.25" thickBot="1" x14ac:dyDescent="0.25">
      <c r="A57" s="134" t="s">
        <v>35</v>
      </c>
      <c r="B57" s="271">
        <f>C57*12/44</f>
        <v>0.2972727272727273</v>
      </c>
      <c r="C57" s="131">
        <v>1.0900000000000001</v>
      </c>
      <c r="D57" s="131" t="s">
        <v>320</v>
      </c>
      <c r="E57" s="140" t="s">
        <v>344</v>
      </c>
      <c r="F57" s="541" t="s">
        <v>465</v>
      </c>
    </row>
    <row r="58" spans="1:6" ht="39" thickBot="1" x14ac:dyDescent="0.25">
      <c r="A58" s="128" t="s">
        <v>64</v>
      </c>
      <c r="B58" s="271">
        <f>C58*12/44</f>
        <v>117.36409090909092</v>
      </c>
      <c r="C58" s="271">
        <f>0.393*3*365</f>
        <v>430.33500000000004</v>
      </c>
      <c r="D58" s="131" t="s">
        <v>346</v>
      </c>
      <c r="E58" s="140" t="s">
        <v>345</v>
      </c>
      <c r="F58" s="541" t="s">
        <v>465</v>
      </c>
    </row>
    <row r="59" spans="1:6" ht="39" thickBot="1" x14ac:dyDescent="0.25">
      <c r="A59" s="128" t="s">
        <v>301</v>
      </c>
      <c r="B59" s="133">
        <f>C59*12/44</f>
        <v>54.545454545454547</v>
      </c>
      <c r="C59" s="272">
        <v>200</v>
      </c>
      <c r="D59" s="229" t="s">
        <v>302</v>
      </c>
      <c r="E59" s="140" t="s">
        <v>303</v>
      </c>
      <c r="F59" s="214" t="s">
        <v>304</v>
      </c>
    </row>
    <row r="60" spans="1:6" ht="15.75" thickBot="1" x14ac:dyDescent="0.25">
      <c r="A60" s="128" t="s">
        <v>292</v>
      </c>
      <c r="B60" s="503"/>
      <c r="C60" s="503"/>
      <c r="D60" s="503"/>
      <c r="E60" s="503"/>
      <c r="F60" s="503"/>
    </row>
    <row r="61" spans="1:6" ht="15.75" thickBot="1" x14ac:dyDescent="0.25">
      <c r="A61" s="134" t="s">
        <v>313</v>
      </c>
      <c r="B61" s="264">
        <f>C61*12/44</f>
        <v>0.1390909090909091</v>
      </c>
      <c r="C61" s="264">
        <v>0.51</v>
      </c>
      <c r="D61" s="229" t="s">
        <v>314</v>
      </c>
      <c r="E61" s="140" t="s">
        <v>315</v>
      </c>
      <c r="F61" s="4" t="s">
        <v>465</v>
      </c>
    </row>
    <row r="62" spans="1:6" ht="15.75" thickBot="1" x14ac:dyDescent="0.25">
      <c r="A62" s="134" t="s">
        <v>311</v>
      </c>
      <c r="B62" s="264">
        <f t="shared" ref="B62:B63" si="2">C62*12/44</f>
        <v>1.7154545454545456</v>
      </c>
      <c r="C62" s="264">
        <v>6.29</v>
      </c>
      <c r="D62" s="229" t="s">
        <v>314</v>
      </c>
      <c r="E62" s="140" t="s">
        <v>316</v>
      </c>
      <c r="F62" s="4" t="s">
        <v>465</v>
      </c>
    </row>
    <row r="63" spans="1:6" ht="15.75" thickBot="1" x14ac:dyDescent="0.25">
      <c r="A63" s="134" t="s">
        <v>312</v>
      </c>
      <c r="B63" s="264">
        <f t="shared" si="2"/>
        <v>0.36818181818181822</v>
      </c>
      <c r="C63" s="264">
        <v>1.35</v>
      </c>
      <c r="D63" s="229" t="s">
        <v>314</v>
      </c>
      <c r="E63" s="140" t="s">
        <v>317</v>
      </c>
      <c r="F63" s="4" t="s">
        <v>465</v>
      </c>
    </row>
    <row r="64" spans="1:6" ht="22.5" x14ac:dyDescent="0.2">
      <c r="A64" s="126" t="s">
        <v>47</v>
      </c>
      <c r="B64" s="135"/>
      <c r="C64" s="135"/>
      <c r="D64" s="135"/>
      <c r="E64" s="136"/>
      <c r="F64" s="136"/>
    </row>
    <row r="65" spans="1:6" ht="15.75" thickBot="1" x14ac:dyDescent="0.25">
      <c r="A65" s="128" t="s">
        <v>52</v>
      </c>
      <c r="B65" s="503"/>
      <c r="C65" s="503"/>
      <c r="D65" s="503"/>
      <c r="E65" s="503"/>
      <c r="F65" s="503"/>
    </row>
    <row r="66" spans="1:6" ht="64.5" thickBot="1" x14ac:dyDescent="0.25">
      <c r="A66" s="129" t="s">
        <v>473</v>
      </c>
      <c r="B66" s="130">
        <f>C66*12/44</f>
        <v>907.59740259740249</v>
      </c>
      <c r="C66" s="130">
        <f>(431000/200+1900000/350+480000/200)/3</f>
        <v>3327.8571428571427</v>
      </c>
      <c r="D66" s="131" t="s">
        <v>372</v>
      </c>
      <c r="E66" s="140" t="s">
        <v>78</v>
      </c>
      <c r="F66" s="542" t="s">
        <v>465</v>
      </c>
    </row>
    <row r="67" spans="1:6" ht="26.25" thickBot="1" x14ac:dyDescent="0.25">
      <c r="A67" s="245" t="s">
        <v>251</v>
      </c>
      <c r="B67" s="274">
        <f>C67*12/44</f>
        <v>8.1818181818181804E-2</v>
      </c>
      <c r="C67" s="133">
        <f>15/50</f>
        <v>0.3</v>
      </c>
      <c r="D67" s="229" t="s">
        <v>261</v>
      </c>
      <c r="E67" s="140" t="s">
        <v>257</v>
      </c>
      <c r="F67" s="542" t="s">
        <v>465</v>
      </c>
    </row>
    <row r="68" spans="1:6" ht="15.75" thickBot="1" x14ac:dyDescent="0.25">
      <c r="A68" s="245" t="s">
        <v>254</v>
      </c>
      <c r="B68" s="139">
        <f>C68*12/44</f>
        <v>0.27272727272727271</v>
      </c>
      <c r="C68" s="272">
        <v>1</v>
      </c>
      <c r="D68" s="229" t="s">
        <v>261</v>
      </c>
      <c r="E68" s="140" t="s">
        <v>258</v>
      </c>
      <c r="F68" s="542" t="s">
        <v>465</v>
      </c>
    </row>
    <row r="69" spans="1:6" ht="30.75" thickBot="1" x14ac:dyDescent="0.25">
      <c r="A69" s="244" t="s">
        <v>259</v>
      </c>
      <c r="B69" s="357">
        <f>C69*12/44</f>
        <v>1.5000000000000003E-2</v>
      </c>
      <c r="C69" s="357">
        <f>1.1/20</f>
        <v>5.5000000000000007E-2</v>
      </c>
      <c r="D69" s="356" t="s">
        <v>261</v>
      </c>
      <c r="E69" s="140" t="s">
        <v>260</v>
      </c>
      <c r="F69" s="542" t="s">
        <v>465</v>
      </c>
    </row>
    <row r="70" spans="1:6" ht="39" thickBot="1" x14ac:dyDescent="0.25">
      <c r="A70" s="360" t="s">
        <v>285</v>
      </c>
      <c r="B70" s="361">
        <f t="shared" ref="B70:B71" si="3">C70*12/44</f>
        <v>2.7272727272727271E-3</v>
      </c>
      <c r="C70" s="362">
        <v>0.01</v>
      </c>
      <c r="D70" s="363" t="s">
        <v>286</v>
      </c>
      <c r="E70" s="359" t="s">
        <v>498</v>
      </c>
      <c r="F70" s="544" t="s">
        <v>499</v>
      </c>
    </row>
    <row r="71" spans="1:6" ht="153.75" thickBot="1" x14ac:dyDescent="0.25">
      <c r="A71" s="360" t="s">
        <v>495</v>
      </c>
      <c r="B71" s="361">
        <f t="shared" si="3"/>
        <v>0.27272727272727271</v>
      </c>
      <c r="C71" s="362">
        <f>0.1*10</f>
        <v>1</v>
      </c>
      <c r="D71" s="363" t="s">
        <v>286</v>
      </c>
      <c r="E71" s="359" t="s">
        <v>497</v>
      </c>
      <c r="F71" s="542" t="s">
        <v>287</v>
      </c>
    </row>
    <row r="72" spans="1:6" ht="64.5" thickBot="1" x14ac:dyDescent="0.25">
      <c r="A72" s="360" t="s">
        <v>496</v>
      </c>
      <c r="B72" s="364">
        <f>C72*12/44</f>
        <v>5.4545454545454548E-4</v>
      </c>
      <c r="C72" s="362">
        <f>0.1*0.02</f>
        <v>2E-3</v>
      </c>
      <c r="D72" s="363" t="s">
        <v>286</v>
      </c>
      <c r="E72" s="359" t="s">
        <v>450</v>
      </c>
      <c r="F72" s="542" t="s">
        <v>287</v>
      </c>
    </row>
    <row r="73" spans="1:6" ht="22.5" x14ac:dyDescent="0.2">
      <c r="A73" s="126" t="s">
        <v>38</v>
      </c>
      <c r="B73" s="135"/>
      <c r="C73" s="135"/>
      <c r="D73" s="135"/>
      <c r="E73" s="136"/>
      <c r="F73" s="136"/>
    </row>
    <row r="74" spans="1:6" ht="60.75" thickBot="1" x14ac:dyDescent="0.25">
      <c r="A74" s="128" t="s">
        <v>156</v>
      </c>
      <c r="B74" s="503"/>
      <c r="C74" s="503"/>
      <c r="D74" s="503"/>
      <c r="E74" s="503"/>
      <c r="F74" s="503"/>
    </row>
    <row r="75" spans="1:6" ht="48" customHeight="1" thickBot="1" x14ac:dyDescent="0.25">
      <c r="A75" s="528" t="s">
        <v>39</v>
      </c>
      <c r="B75" s="526">
        <f>C75*12/44</f>
        <v>3.0852272727272729</v>
      </c>
      <c r="C75" s="549">
        <f>1000*0.905*0.0125</f>
        <v>11.3125</v>
      </c>
      <c r="D75" s="511" t="s">
        <v>341</v>
      </c>
      <c r="E75" s="535" t="s">
        <v>132</v>
      </c>
      <c r="F75" s="215" t="s">
        <v>508</v>
      </c>
    </row>
    <row r="76" spans="1:6" ht="48" customHeight="1" thickBot="1" x14ac:dyDescent="0.25">
      <c r="A76" s="529"/>
      <c r="B76" s="527"/>
      <c r="C76" s="550"/>
      <c r="D76" s="512"/>
      <c r="E76" s="536"/>
      <c r="F76" s="215" t="s">
        <v>509</v>
      </c>
    </row>
    <row r="77" spans="1:6" ht="68.45" customHeight="1" thickBot="1" x14ac:dyDescent="0.25">
      <c r="A77" s="530" t="s">
        <v>40</v>
      </c>
      <c r="B77" s="532">
        <f>C77*12/44</f>
        <v>0.92727272727272725</v>
      </c>
      <c r="C77" s="517">
        <f>1000*(0.48+0.2)/2*0.01</f>
        <v>3.3999999999999995</v>
      </c>
      <c r="D77" s="511" t="s">
        <v>341</v>
      </c>
      <c r="E77" s="506" t="s">
        <v>133</v>
      </c>
      <c r="F77" s="215" t="s">
        <v>508</v>
      </c>
    </row>
    <row r="78" spans="1:6" ht="68.45" customHeight="1" thickBot="1" x14ac:dyDescent="0.25">
      <c r="A78" s="531"/>
      <c r="B78" s="533"/>
      <c r="C78" s="518"/>
      <c r="D78" s="512"/>
      <c r="E78" s="507"/>
      <c r="F78" s="215" t="s">
        <v>509</v>
      </c>
    </row>
    <row r="79" spans="1:6" ht="22.5" x14ac:dyDescent="0.2">
      <c r="A79" s="126" t="s">
        <v>41</v>
      </c>
      <c r="B79" s="135"/>
      <c r="C79" s="135"/>
      <c r="D79" s="135"/>
      <c r="E79" s="136"/>
      <c r="F79" s="136"/>
    </row>
    <row r="80" spans="1:6" ht="60.75" thickBot="1" x14ac:dyDescent="0.25">
      <c r="A80" s="128" t="s">
        <v>191</v>
      </c>
      <c r="B80" s="503"/>
      <c r="C80" s="503"/>
      <c r="D80" s="503"/>
      <c r="E80" s="503"/>
      <c r="F80" s="503"/>
    </row>
    <row r="81" spans="1:6" ht="41.25" customHeight="1" thickBot="1" x14ac:dyDescent="0.25">
      <c r="A81" s="540" t="s">
        <v>42</v>
      </c>
      <c r="B81" s="130">
        <f>C81*12/44</f>
        <v>303.54545454545456</v>
      </c>
      <c r="C81" s="130">
        <v>1113</v>
      </c>
      <c r="D81" s="131" t="s">
        <v>339</v>
      </c>
      <c r="E81" s="140" t="s">
        <v>507</v>
      </c>
      <c r="F81" s="214" t="s">
        <v>506</v>
      </c>
    </row>
    <row r="82" spans="1:6" ht="23.25" thickBot="1" x14ac:dyDescent="0.25">
      <c r="A82" s="126" t="s">
        <v>114</v>
      </c>
      <c r="B82" s="135"/>
      <c r="C82" s="135"/>
      <c r="D82" s="135"/>
      <c r="E82" s="136"/>
      <c r="F82" s="136"/>
    </row>
    <row r="83" spans="1:6" ht="42" customHeight="1" thickBot="1" x14ac:dyDescent="0.25">
      <c r="A83" s="221" t="s">
        <v>481</v>
      </c>
      <c r="B83" s="130">
        <f t="shared" ref="B83" si="4">C83*12/44</f>
        <v>2.9481818181818182</v>
      </c>
      <c r="C83" s="272">
        <v>10.81</v>
      </c>
      <c r="D83" s="229" t="s">
        <v>482</v>
      </c>
      <c r="E83" s="140" t="s">
        <v>507</v>
      </c>
      <c r="F83" s="214" t="s">
        <v>506</v>
      </c>
    </row>
    <row r="84" spans="1:6" ht="30.75" thickBot="1" x14ac:dyDescent="0.25">
      <c r="A84" s="540" t="s">
        <v>474</v>
      </c>
      <c r="B84" s="130">
        <f t="shared" ref="B84:B89" si="5">C84*12/44</f>
        <v>424363.63636363635</v>
      </c>
      <c r="C84" s="547">
        <v>1556000</v>
      </c>
      <c r="D84" s="131" t="s">
        <v>94</v>
      </c>
      <c r="E84" s="140" t="s">
        <v>95</v>
      </c>
      <c r="F84" s="214" t="s">
        <v>512</v>
      </c>
    </row>
    <row r="85" spans="1:6" ht="30.75" thickBot="1" x14ac:dyDescent="0.25">
      <c r="A85" s="221" t="s">
        <v>480</v>
      </c>
      <c r="B85" s="130">
        <f t="shared" si="5"/>
        <v>501272.72727272729</v>
      </c>
      <c r="C85" s="547">
        <v>1838000</v>
      </c>
      <c r="D85" s="131" t="s">
        <v>89</v>
      </c>
      <c r="E85" s="140" t="s">
        <v>96</v>
      </c>
      <c r="F85" s="214" t="s">
        <v>512</v>
      </c>
    </row>
    <row r="86" spans="1:6" ht="30.75" thickBot="1" x14ac:dyDescent="0.25">
      <c r="A86" s="221" t="s">
        <v>479</v>
      </c>
      <c r="B86" s="130">
        <f t="shared" si="5"/>
        <v>670090.90909090906</v>
      </c>
      <c r="C86" s="547">
        <v>2457000</v>
      </c>
      <c r="D86" s="131" t="s">
        <v>89</v>
      </c>
      <c r="E86" s="140" t="s">
        <v>98</v>
      </c>
      <c r="F86" s="214" t="s">
        <v>512</v>
      </c>
    </row>
    <row r="87" spans="1:6" ht="51.75" thickBot="1" x14ac:dyDescent="0.25">
      <c r="A87" s="221" t="s">
        <v>478</v>
      </c>
      <c r="B87" s="130">
        <f t="shared" si="5"/>
        <v>548214.54545454541</v>
      </c>
      <c r="C87" s="547">
        <f>2393000*0.84</f>
        <v>2010120</v>
      </c>
      <c r="D87" s="131" t="s">
        <v>89</v>
      </c>
      <c r="E87" s="140" t="s">
        <v>134</v>
      </c>
      <c r="F87" s="214" t="s">
        <v>512</v>
      </c>
    </row>
    <row r="88" spans="1:6" ht="30.75" thickBot="1" x14ac:dyDescent="0.25">
      <c r="A88" s="221" t="s">
        <v>477</v>
      </c>
      <c r="B88" s="130">
        <f t="shared" si="5"/>
        <v>136156.36363636365</v>
      </c>
      <c r="C88" s="547">
        <f>1783000*0.28</f>
        <v>499240.00000000006</v>
      </c>
      <c r="D88" s="131" t="s">
        <v>89</v>
      </c>
      <c r="E88" s="140" t="s">
        <v>99</v>
      </c>
      <c r="F88" s="214" t="s">
        <v>512</v>
      </c>
    </row>
    <row r="89" spans="1:6" ht="30.75" thickBot="1" x14ac:dyDescent="0.25">
      <c r="A89" s="221" t="s">
        <v>476</v>
      </c>
      <c r="B89" s="130">
        <f t="shared" si="5"/>
        <v>350116.36363636365</v>
      </c>
      <c r="C89" s="547">
        <f>1783000*0.72</f>
        <v>1283760</v>
      </c>
      <c r="D89" s="131" t="s">
        <v>89</v>
      </c>
      <c r="E89" s="140" t="s">
        <v>97</v>
      </c>
      <c r="F89" s="214" t="s">
        <v>512</v>
      </c>
    </row>
    <row r="90" spans="1:6" ht="30.75" thickBot="1" x14ac:dyDescent="0.25">
      <c r="A90" s="221" t="s">
        <v>475</v>
      </c>
      <c r="B90" s="130">
        <f>SUM(B84:B89)</f>
        <v>2630214.5454545459</v>
      </c>
      <c r="C90" s="547">
        <f>SUM(C84:C89)</f>
        <v>9644120</v>
      </c>
      <c r="D90" s="131" t="s">
        <v>89</v>
      </c>
      <c r="E90" s="140" t="s">
        <v>97</v>
      </c>
      <c r="F90" s="214" t="s">
        <v>512</v>
      </c>
    </row>
    <row r="91" spans="1:6" ht="72" customHeight="1" thickBot="1" x14ac:dyDescent="0.25">
      <c r="A91" s="222" t="s">
        <v>58</v>
      </c>
      <c r="B91" s="523" t="s">
        <v>115</v>
      </c>
      <c r="C91" s="524"/>
      <c r="D91" s="525"/>
      <c r="E91" s="140" t="s">
        <v>116</v>
      </c>
      <c r="F91" s="132"/>
    </row>
    <row r="92" spans="1:6" ht="45.75" thickBot="1" x14ac:dyDescent="0.25">
      <c r="A92" s="126" t="s">
        <v>117</v>
      </c>
      <c r="B92" s="135"/>
      <c r="C92" s="135"/>
      <c r="D92" s="135"/>
      <c r="E92" s="136"/>
      <c r="F92" s="136"/>
    </row>
    <row r="93" spans="1:6" ht="64.5" thickBot="1" x14ac:dyDescent="0.25">
      <c r="A93" s="134" t="s">
        <v>102</v>
      </c>
      <c r="B93" s="537" t="s">
        <v>438</v>
      </c>
      <c r="C93" s="537"/>
      <c r="D93" s="537"/>
      <c r="E93" s="140" t="s">
        <v>105</v>
      </c>
      <c r="F93" s="215" t="s">
        <v>84</v>
      </c>
    </row>
    <row r="94" spans="1:6" ht="30.75" customHeight="1" thickBot="1" x14ac:dyDescent="0.25">
      <c r="A94" s="134" t="s">
        <v>103</v>
      </c>
      <c r="B94" s="534" t="s">
        <v>437</v>
      </c>
      <c r="C94" s="534"/>
      <c r="D94" s="534"/>
      <c r="E94" s="140" t="s">
        <v>106</v>
      </c>
      <c r="F94" s="132"/>
    </row>
    <row r="95" spans="1:6" ht="30.75" thickBot="1" x14ac:dyDescent="0.25">
      <c r="A95" s="134" t="s">
        <v>104</v>
      </c>
      <c r="B95" s="534" t="s">
        <v>107</v>
      </c>
      <c r="C95" s="534"/>
      <c r="D95" s="534"/>
      <c r="E95" s="140" t="s">
        <v>108</v>
      </c>
      <c r="F95" s="132"/>
    </row>
    <row r="96" spans="1:6" ht="45.75" thickBot="1" x14ac:dyDescent="0.25">
      <c r="A96" s="193" t="s">
        <v>216</v>
      </c>
      <c r="B96" s="135"/>
      <c r="C96" s="135"/>
      <c r="D96" s="135"/>
      <c r="E96" s="136"/>
      <c r="F96" s="136"/>
    </row>
    <row r="97" spans="1:10" ht="39" thickBot="1" x14ac:dyDescent="0.25">
      <c r="A97" s="134" t="s">
        <v>218</v>
      </c>
      <c r="B97" s="223"/>
      <c r="C97" s="223"/>
      <c r="D97" s="223" t="s">
        <v>226</v>
      </c>
      <c r="E97" s="140" t="s">
        <v>227</v>
      </c>
      <c r="F97" s="214" t="s">
        <v>205</v>
      </c>
    </row>
    <row r="98" spans="1:10" ht="15.75" thickBot="1" x14ac:dyDescent="0.25">
      <c r="A98" s="134" t="s">
        <v>219</v>
      </c>
      <c r="B98" s="224"/>
      <c r="C98" s="224"/>
      <c r="D98" s="223" t="s">
        <v>226</v>
      </c>
      <c r="E98" s="140" t="s">
        <v>228</v>
      </c>
      <c r="F98" s="214" t="s">
        <v>204</v>
      </c>
    </row>
    <row r="100" spans="1:10" ht="13.5" thickBot="1" x14ac:dyDescent="0.25"/>
    <row r="101" spans="1:10" ht="24" thickBot="1" x14ac:dyDescent="0.25">
      <c r="A101" s="296" t="s">
        <v>414</v>
      </c>
      <c r="B101" s="293"/>
      <c r="C101" s="293" t="s">
        <v>404</v>
      </c>
      <c r="D101" s="293" t="s">
        <v>405</v>
      </c>
      <c r="E101" s="293"/>
      <c r="F101" s="293"/>
      <c r="G101" s="293"/>
      <c r="H101" s="293"/>
      <c r="I101" s="293"/>
      <c r="J101" s="293"/>
    </row>
    <row r="102" spans="1:10" ht="77.25" thickBot="1" x14ac:dyDescent="0.25">
      <c r="A102" s="294" t="s">
        <v>406</v>
      </c>
      <c r="B102" s="295" t="s">
        <v>407</v>
      </c>
      <c r="C102" s="295" t="s">
        <v>408</v>
      </c>
      <c r="D102" s="295" t="s">
        <v>408</v>
      </c>
      <c r="E102" s="295" t="s">
        <v>409</v>
      </c>
      <c r="F102" s="295" t="s">
        <v>410</v>
      </c>
      <c r="G102" s="295" t="s">
        <v>411</v>
      </c>
      <c r="H102" s="295" t="s">
        <v>412</v>
      </c>
      <c r="I102" s="497" t="s">
        <v>413</v>
      </c>
      <c r="J102" s="498"/>
    </row>
    <row r="103" spans="1:10" ht="13.5" thickBot="1" x14ac:dyDescent="0.25">
      <c r="A103" s="287" t="s">
        <v>415</v>
      </c>
      <c r="B103" s="288" t="s">
        <v>384</v>
      </c>
      <c r="C103" s="288" t="s">
        <v>385</v>
      </c>
      <c r="D103" s="288" t="s">
        <v>386</v>
      </c>
      <c r="E103" s="289">
        <v>400</v>
      </c>
      <c r="F103" s="289">
        <v>270</v>
      </c>
      <c r="G103" s="289">
        <v>3.0681818179999998</v>
      </c>
      <c r="H103" s="289">
        <v>4.5</v>
      </c>
      <c r="I103" s="289">
        <v>1833</v>
      </c>
      <c r="J103" s="288" t="s">
        <v>387</v>
      </c>
    </row>
    <row r="104" spans="1:10" ht="13.5" thickBot="1" x14ac:dyDescent="0.25">
      <c r="A104" s="290" t="s">
        <v>383</v>
      </c>
      <c r="B104" s="291" t="s">
        <v>388</v>
      </c>
      <c r="C104" s="291" t="s">
        <v>389</v>
      </c>
      <c r="D104" s="291" t="s">
        <v>390</v>
      </c>
      <c r="E104" s="292">
        <v>560</v>
      </c>
      <c r="F104" s="292">
        <v>780</v>
      </c>
      <c r="G104" s="292">
        <v>8.8636363639999995</v>
      </c>
      <c r="H104" s="292">
        <v>12</v>
      </c>
      <c r="I104" s="292">
        <v>4889</v>
      </c>
      <c r="J104" s="291" t="s">
        <v>387</v>
      </c>
    </row>
    <row r="105" spans="1:10" ht="13.5" thickBot="1" x14ac:dyDescent="0.25">
      <c r="A105" s="290" t="s">
        <v>391</v>
      </c>
      <c r="B105" s="291" t="s">
        <v>392</v>
      </c>
      <c r="C105" s="291" t="s">
        <v>393</v>
      </c>
      <c r="D105" s="291" t="s">
        <v>394</v>
      </c>
      <c r="E105" s="292">
        <v>740</v>
      </c>
      <c r="F105" s="292">
        <v>1060</v>
      </c>
      <c r="G105" s="292">
        <v>12.045454550000001</v>
      </c>
      <c r="H105" s="292">
        <v>15</v>
      </c>
      <c r="I105" s="292">
        <v>6111</v>
      </c>
      <c r="J105" s="291" t="s">
        <v>387</v>
      </c>
    </row>
    <row r="106" spans="1:10" ht="13.5" thickBot="1" x14ac:dyDescent="0.25">
      <c r="A106" s="290" t="s">
        <v>395</v>
      </c>
      <c r="B106" s="291" t="s">
        <v>396</v>
      </c>
      <c r="C106" s="291" t="s">
        <v>397</v>
      </c>
      <c r="D106" s="291" t="s">
        <v>398</v>
      </c>
      <c r="E106" s="292">
        <v>1250</v>
      </c>
      <c r="F106" s="292">
        <v>1685</v>
      </c>
      <c r="G106" s="292">
        <v>19.147727270000001</v>
      </c>
      <c r="H106" s="292">
        <v>22</v>
      </c>
      <c r="I106" s="292">
        <v>8963</v>
      </c>
      <c r="J106" s="291" t="s">
        <v>387</v>
      </c>
    </row>
    <row r="107" spans="1:10" ht="13.5" thickBot="1" x14ac:dyDescent="0.25">
      <c r="A107" s="290" t="s">
        <v>399</v>
      </c>
      <c r="B107" s="291" t="s">
        <v>400</v>
      </c>
      <c r="C107" s="291"/>
      <c r="D107" s="291"/>
      <c r="E107" s="291"/>
      <c r="F107" s="291"/>
      <c r="G107" s="291"/>
      <c r="H107" s="291"/>
      <c r="I107" s="292">
        <v>11463</v>
      </c>
      <c r="J107" s="291" t="s">
        <v>387</v>
      </c>
    </row>
    <row r="108" spans="1:10" ht="13.5" thickBot="1" x14ac:dyDescent="0.25">
      <c r="A108" s="290" t="s">
        <v>401</v>
      </c>
      <c r="B108" s="291" t="s">
        <v>400</v>
      </c>
      <c r="C108" s="291"/>
      <c r="D108" s="291"/>
      <c r="E108" s="291"/>
      <c r="F108" s="291"/>
      <c r="G108" s="291"/>
      <c r="H108" s="291"/>
      <c r="I108" s="292">
        <v>13963</v>
      </c>
      <c r="J108" s="291" t="s">
        <v>387</v>
      </c>
    </row>
    <row r="109" spans="1:10" ht="13.5" thickBot="1" x14ac:dyDescent="0.25">
      <c r="A109" s="290" t="s">
        <v>402</v>
      </c>
      <c r="B109" s="291" t="s">
        <v>400</v>
      </c>
      <c r="C109" s="291"/>
      <c r="D109" s="291"/>
      <c r="E109" s="291"/>
      <c r="F109" s="291"/>
      <c r="G109" s="291"/>
      <c r="H109" s="291"/>
      <c r="I109" s="292">
        <v>16463</v>
      </c>
      <c r="J109" s="291" t="s">
        <v>387</v>
      </c>
    </row>
    <row r="110" spans="1:10" ht="13.5" thickBot="1" x14ac:dyDescent="0.25">
      <c r="A110" s="290" t="s">
        <v>403</v>
      </c>
      <c r="B110" s="291" t="s">
        <v>400</v>
      </c>
      <c r="C110" s="291"/>
      <c r="D110" s="291"/>
      <c r="E110" s="291"/>
      <c r="F110" s="291"/>
      <c r="G110" s="291"/>
      <c r="H110" s="291"/>
      <c r="I110" s="292">
        <v>18963</v>
      </c>
      <c r="J110" s="291" t="s">
        <v>387</v>
      </c>
    </row>
  </sheetData>
  <mergeCells count="47">
    <mergeCell ref="B95:D95"/>
    <mergeCell ref="B6:D6"/>
    <mergeCell ref="B52:F52"/>
    <mergeCell ref="B65:F65"/>
    <mergeCell ref="B74:F74"/>
    <mergeCell ref="B42:F42"/>
    <mergeCell ref="B80:F80"/>
    <mergeCell ref="B55:F55"/>
    <mergeCell ref="B46:F46"/>
    <mergeCell ref="D34:D35"/>
    <mergeCell ref="C34:C35"/>
    <mergeCell ref="E34:E35"/>
    <mergeCell ref="E75:E76"/>
    <mergeCell ref="E77:E78"/>
    <mergeCell ref="B93:D93"/>
    <mergeCell ref="B94:D94"/>
    <mergeCell ref="D32:D33"/>
    <mergeCell ref="E32:E33"/>
    <mergeCell ref="A34:A35"/>
    <mergeCell ref="B34:B35"/>
    <mergeCell ref="B91:D91"/>
    <mergeCell ref="B60:F60"/>
    <mergeCell ref="B37:F37"/>
    <mergeCell ref="D77:D78"/>
    <mergeCell ref="B75:B76"/>
    <mergeCell ref="A75:A76"/>
    <mergeCell ref="A77:A78"/>
    <mergeCell ref="B77:B78"/>
    <mergeCell ref="C77:C78"/>
    <mergeCell ref="D75:D76"/>
    <mergeCell ref="C75:C76"/>
    <mergeCell ref="I102:J102"/>
    <mergeCell ref="A1:E1"/>
    <mergeCell ref="A6:A7"/>
    <mergeCell ref="E6:F6"/>
    <mergeCell ref="B10:F10"/>
    <mergeCell ref="B31:F31"/>
    <mergeCell ref="B5:E5"/>
    <mergeCell ref="B13:F13"/>
    <mergeCell ref="E28:E29"/>
    <mergeCell ref="A28:A29"/>
    <mergeCell ref="B28:B29"/>
    <mergeCell ref="C28:C29"/>
    <mergeCell ref="D28:D29"/>
    <mergeCell ref="A32:A33"/>
    <mergeCell ref="B32:B33"/>
    <mergeCell ref="C32:C33"/>
  </mergeCells>
  <phoneticPr fontId="41" type="noConversion"/>
  <hyperlinks>
    <hyperlink ref="B5:C5" location="FAQ!A1" display="FAQ!A1" xr:uid="{00000000-0004-0000-0500-000000000000}"/>
    <hyperlink ref="F32" r:id="rId1" xr:uid="{00000000-0004-0000-0500-00000A000000}"/>
    <hyperlink ref="F48" r:id="rId2" xr:uid="{00000000-0004-0000-0500-000019000000}"/>
    <hyperlink ref="F76" r:id="rId3" xr:uid="{00000000-0004-0000-0500-00001C000000}"/>
    <hyperlink ref="F81" r:id="rId4" xr:uid="{00000000-0004-0000-0500-00001D000000}"/>
    <hyperlink ref="F84" r:id="rId5" xr:uid="{00000000-0004-0000-0500-000021000000}"/>
    <hyperlink ref="F93" r:id="rId6" xr:uid="{00000000-0004-0000-0500-000027000000}"/>
    <hyperlink ref="F97" r:id="rId7" display="Example de cout KwH" xr:uid="{00000000-0004-0000-0500-000028000000}"/>
    <hyperlink ref="F98" r:id="rId8" xr:uid="{00000000-0004-0000-0500-000029000000}"/>
    <hyperlink ref="F33" r:id="rId9" xr:uid="{00000000-0004-0000-0500-00002A000000}"/>
    <hyperlink ref="F28" r:id="rId10" xr:uid="{00000000-0004-0000-0500-00002B000000}"/>
    <hyperlink ref="F34" r:id="rId11" xr:uid="{00000000-0004-0000-0500-00002C000000}"/>
    <hyperlink ref="F75" r:id="rId12" xr:uid="{00000000-0004-0000-0500-00002D000000}"/>
    <hyperlink ref="F78" r:id="rId13" xr:uid="{00000000-0004-0000-0500-00002E000000}"/>
    <hyperlink ref="F77" r:id="rId14" xr:uid="{00000000-0004-0000-0500-00002F000000}"/>
    <hyperlink ref="F17" r:id="rId15" xr:uid="{FAFD1631-EF22-4873-8B6B-872566C2AB12}"/>
    <hyperlink ref="F59" r:id="rId16" xr:uid="{7399BD51-9F17-4D8B-B10B-35B75A5A2A3C}"/>
    <hyperlink ref="F51" r:id="rId17" location="pagination_passerelle" xr:uid="{00000000-0004-0000-0500-00001A000000}"/>
    <hyperlink ref="F22" r:id="rId18" xr:uid="{54D1AB6F-9D42-4AAB-B64F-4731FD35CB6D}"/>
    <hyperlink ref="F21" r:id="rId19" xr:uid="{7D92EAA8-7753-4903-9C0D-8DAE0AAF9EAA}"/>
    <hyperlink ref="F9" r:id="rId20" xr:uid="{0329FD0A-91F8-49E7-9333-9BBC555ABB13}"/>
    <hyperlink ref="F11" r:id="rId21" xr:uid="{ED416B8F-78F8-40DD-BEFA-2466B1D74711}"/>
    <hyperlink ref="F12" r:id="rId22" xr:uid="{42251FB5-71FC-48A8-9333-53CF274257EE}"/>
    <hyperlink ref="F14" r:id="rId23" xr:uid="{BF13D05D-7DF8-476F-ACFF-1A85870B7D44}"/>
    <hyperlink ref="F15" r:id="rId24" xr:uid="{DA4CD890-F8FF-414B-B361-872B83F3409A}"/>
    <hyperlink ref="F16" r:id="rId25" xr:uid="{1EFA452E-3020-4EAD-909B-06662B9165FA}"/>
    <hyperlink ref="F18" r:id="rId26" xr:uid="{DF129108-F4FE-41C0-B29C-87CC5E2CAFD4}"/>
    <hyperlink ref="F19" r:id="rId27" xr:uid="{3DF343E4-D0AE-4448-9130-5995B8E7CC46}"/>
    <hyperlink ref="F23" r:id="rId28" xr:uid="{69823AF4-E528-4FAB-ACEA-D02CAA775C5E}"/>
    <hyperlink ref="F24" r:id="rId29" xr:uid="{67A036F3-1DE3-465C-9A78-428A84BD0556}"/>
    <hyperlink ref="F25" r:id="rId30" xr:uid="{1229D27B-55E0-4EEC-B00E-66732B9DC579}"/>
    <hyperlink ref="F26" r:id="rId31" xr:uid="{124EC08C-7417-4D85-B5D0-CAB2A2CA015A}"/>
    <hyperlink ref="F27" r:id="rId32" xr:uid="{887E3B4D-B89B-4039-8BBE-A5F13CAEEC43}"/>
    <hyperlink ref="F29" r:id="rId33" xr:uid="{DDAB1589-CF67-45E7-B07E-722AD120CBC1}"/>
    <hyperlink ref="F30" r:id="rId34" xr:uid="{5DDCFFAE-7860-4690-8662-7441AC7F39A1}"/>
    <hyperlink ref="F35" r:id="rId35" xr:uid="{696D3232-2909-4EEA-8D08-DFD0E33C0F14}"/>
    <hyperlink ref="F38" r:id="rId36" xr:uid="{1DC36AA9-969D-483A-B72C-25DE034442CB}"/>
    <hyperlink ref="F39" r:id="rId37" xr:uid="{DEDD0D37-CCD5-4DCF-AAE4-1DB3BC29D3D0}"/>
    <hyperlink ref="F40" r:id="rId38" xr:uid="{CF1C7B71-04B7-48C7-9701-5309C9A4E767}"/>
    <hyperlink ref="F41" r:id="rId39" xr:uid="{C9607ED6-0876-404F-B0E9-6DE371CBC487}"/>
    <hyperlink ref="F43" r:id="rId40" xr:uid="{B921832B-33F2-494F-99F7-1742A902725B}"/>
    <hyperlink ref="F44" r:id="rId41" xr:uid="{24863624-1098-4718-97F8-1C0F5462364A}"/>
    <hyperlink ref="F45" r:id="rId42" xr:uid="{DD15618C-D7BF-4640-B984-A1C4137DAE1D}"/>
    <hyperlink ref="F47" r:id="rId43" xr:uid="{3FDC1302-078C-4B90-8AD4-EAE8031413BB}"/>
    <hyperlink ref="F50" r:id="rId44" xr:uid="{9D008E6E-EAEE-482F-A722-FA5922A5E351}"/>
    <hyperlink ref="F53" r:id="rId45" xr:uid="{B50377C6-2878-4453-A8A6-B6688002E4EC}"/>
    <hyperlink ref="F54" r:id="rId46" xr:uid="{EE8BD2F8-249B-4F6C-A50C-4DEE8B60C309}"/>
    <hyperlink ref="F56" r:id="rId47" xr:uid="{D15D6D1C-23F3-4A41-85D2-2E97C8D83DE6}"/>
    <hyperlink ref="F57" r:id="rId48" xr:uid="{5A624294-BB63-4B84-987A-A20EFC15079E}"/>
    <hyperlink ref="F58" r:id="rId49" xr:uid="{300D8766-9C75-4AAF-A904-7D9904F9D770}"/>
    <hyperlink ref="F61" r:id="rId50" xr:uid="{15361563-6FFE-4597-B639-FA83A8FA5F9F}"/>
    <hyperlink ref="F62" r:id="rId51" xr:uid="{F49FD938-EAC3-4901-BF20-E2D44B2ED69B}"/>
    <hyperlink ref="F63" r:id="rId52" xr:uid="{77A49E26-DE9E-44D0-B1DB-BE48DDC502C9}"/>
    <hyperlink ref="F66" r:id="rId53" xr:uid="{1526C622-EDB3-40D7-AE2E-5E7CB49A1883}"/>
    <hyperlink ref="F67" r:id="rId54" xr:uid="{1E73716D-FCE6-41DE-A67B-0953AC6E8A4B}"/>
    <hyperlink ref="F68" r:id="rId55" xr:uid="{82B2735A-F177-4933-BE25-FE87FA10E908}"/>
    <hyperlink ref="F69" r:id="rId56" xr:uid="{736D1A49-7279-45AA-A7ED-5B14701B56B7}"/>
    <hyperlink ref="F71" r:id="rId57" xr:uid="{A5F76F43-0D69-4C69-9916-86B791C870F0}"/>
    <hyperlink ref="F72" r:id="rId58" xr:uid="{29E27206-60F0-415F-952C-191DEBDE978A}"/>
    <hyperlink ref="F70" r:id="rId59" xr:uid="{6FC2C8F3-3DF8-4A2E-88FC-F978DE1C0826}"/>
    <hyperlink ref="F83" r:id="rId60" xr:uid="{3751E54A-D943-4F1D-B24B-368C8B2F9A05}"/>
    <hyperlink ref="F85:F90" r:id="rId61" display="http://www.carbone4.com/notre-revolution-carbone/" xr:uid="{580ACC0C-7C60-44FD-8550-2FEA2EF679F8}"/>
  </hyperlinks>
  <pageMargins left="0.7" right="0.7" top="0.75" bottom="0.75" header="0.51180555555555551" footer="0.51180555555555551"/>
  <pageSetup paperSize="9" firstPageNumber="0" orientation="portrait" horizontalDpi="300" verticalDpi="300" r:id="rId62"/>
  <headerFooter alignWithMargins="0"/>
  <drawing r:id="rId6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G31"/>
  <sheetViews>
    <sheetView topLeftCell="A10" workbookViewId="0">
      <selection activeCell="D17" sqref="D17"/>
    </sheetView>
  </sheetViews>
  <sheetFormatPr baseColWidth="10" defaultColWidth="19.140625" defaultRowHeight="12.75" x14ac:dyDescent="0.2"/>
  <cols>
    <col min="1" max="1" width="3" style="23" customWidth="1"/>
    <col min="2" max="2" width="8.42578125" bestFit="1" customWidth="1"/>
    <col min="3" max="3" width="15.85546875" bestFit="1" customWidth="1"/>
    <col min="4" max="4" width="107" customWidth="1"/>
  </cols>
  <sheetData>
    <row r="1" spans="2:7" s="23" customFormat="1" ht="44.45" customHeight="1" x14ac:dyDescent="0.2">
      <c r="B1" s="493" t="s">
        <v>207</v>
      </c>
      <c r="C1" s="493"/>
      <c r="D1" s="493"/>
      <c r="E1" s="225"/>
      <c r="F1" s="225"/>
      <c r="G1" s="225"/>
    </row>
    <row r="2" spans="2:7" s="23" customFormat="1" x14ac:dyDescent="0.2"/>
    <row r="3" spans="2:7" s="23" customFormat="1" ht="34.5" customHeight="1" x14ac:dyDescent="0.2"/>
    <row r="4" spans="2:7" s="23" customFormat="1" ht="31.35" customHeight="1" x14ac:dyDescent="0.2"/>
    <row r="5" spans="2:7" ht="13.5" thickBot="1" x14ac:dyDescent="0.25">
      <c r="B5" s="208" t="s">
        <v>207</v>
      </c>
      <c r="C5" s="209" t="s">
        <v>208</v>
      </c>
      <c r="D5" s="210" t="s">
        <v>209</v>
      </c>
    </row>
    <row r="6" spans="2:7" ht="13.5" thickBot="1" x14ac:dyDescent="0.25">
      <c r="B6" s="216" t="s">
        <v>210</v>
      </c>
      <c r="C6" s="217">
        <v>41892</v>
      </c>
      <c r="D6" s="218" t="s">
        <v>222</v>
      </c>
    </row>
    <row r="7" spans="2:7" ht="13.5" thickBot="1" x14ac:dyDescent="0.25">
      <c r="B7" s="216" t="s">
        <v>211</v>
      </c>
      <c r="C7" s="217" t="s">
        <v>212</v>
      </c>
      <c r="D7" s="218" t="s">
        <v>213</v>
      </c>
    </row>
    <row r="8" spans="2:7" ht="23.25" thickBot="1" x14ac:dyDescent="0.25">
      <c r="B8" s="216" t="s">
        <v>220</v>
      </c>
      <c r="C8" s="217">
        <v>42662</v>
      </c>
      <c r="D8" s="218" t="s">
        <v>217</v>
      </c>
    </row>
    <row r="9" spans="2:7" ht="68.25" thickBot="1" x14ac:dyDescent="0.25">
      <c r="B9" s="231" t="s">
        <v>234</v>
      </c>
      <c r="C9" s="232">
        <v>43582</v>
      </c>
      <c r="D9" s="247" t="s">
        <v>343</v>
      </c>
    </row>
    <row r="10" spans="2:7" ht="68.25" thickBot="1" x14ac:dyDescent="0.25">
      <c r="B10" s="231" t="s">
        <v>342</v>
      </c>
      <c r="C10" s="232">
        <v>43638</v>
      </c>
      <c r="D10" s="247" t="s">
        <v>444</v>
      </c>
    </row>
    <row r="11" spans="2:7" s="23" customFormat="1" ht="34.5" thickBot="1" x14ac:dyDescent="0.25">
      <c r="B11" s="374" t="s">
        <v>470</v>
      </c>
      <c r="C11" s="375">
        <v>43771</v>
      </c>
      <c r="D11" s="376" t="s">
        <v>471</v>
      </c>
    </row>
    <row r="12" spans="2:7" ht="23.25" thickBot="1" x14ac:dyDescent="0.25">
      <c r="B12" s="380" t="s">
        <v>483</v>
      </c>
      <c r="C12" s="381">
        <v>43851</v>
      </c>
      <c r="D12" s="382" t="s">
        <v>484</v>
      </c>
    </row>
    <row r="13" spans="2:7" ht="23.25" thickBot="1" x14ac:dyDescent="0.25">
      <c r="B13" s="374" t="s">
        <v>490</v>
      </c>
      <c r="C13" s="375">
        <v>43886</v>
      </c>
      <c r="D13" s="376" t="s">
        <v>491</v>
      </c>
    </row>
    <row r="14" spans="2:7" ht="23.25" thickBot="1" x14ac:dyDescent="0.25">
      <c r="B14" s="380" t="s">
        <v>493</v>
      </c>
      <c r="C14" s="381">
        <v>43921</v>
      </c>
      <c r="D14" s="382" t="s">
        <v>501</v>
      </c>
    </row>
    <row r="15" spans="2:7" ht="23.25" thickBot="1" x14ac:dyDescent="0.25">
      <c r="B15" s="374" t="s">
        <v>502</v>
      </c>
      <c r="C15" s="375">
        <v>43933</v>
      </c>
      <c r="D15" s="376" t="s">
        <v>504</v>
      </c>
    </row>
    <row r="16" spans="2:7" ht="34.5" thickBot="1" x14ac:dyDescent="0.25">
      <c r="B16" s="380" t="s">
        <v>505</v>
      </c>
      <c r="C16" s="381">
        <v>44164</v>
      </c>
      <c r="D16" s="382" t="s">
        <v>510</v>
      </c>
    </row>
    <row r="17" spans="2:4" ht="13.5" thickBot="1" x14ac:dyDescent="0.25">
      <c r="B17" s="374"/>
      <c r="C17" s="375"/>
      <c r="D17" s="376"/>
    </row>
    <row r="18" spans="2:4" ht="13.5" thickBot="1" x14ac:dyDescent="0.25">
      <c r="B18" s="380"/>
      <c r="C18" s="381"/>
      <c r="D18" s="382"/>
    </row>
    <row r="19" spans="2:4" ht="13.5" thickBot="1" x14ac:dyDescent="0.25">
      <c r="B19" s="374"/>
      <c r="C19" s="375"/>
      <c r="D19" s="376"/>
    </row>
    <row r="20" spans="2:4" ht="13.5" thickBot="1" x14ac:dyDescent="0.25">
      <c r="B20" s="380"/>
      <c r="C20" s="381"/>
      <c r="D20" s="382"/>
    </row>
    <row r="21" spans="2:4" ht="13.5" thickBot="1" x14ac:dyDescent="0.25">
      <c r="B21" s="374"/>
      <c r="C21" s="375"/>
      <c r="D21" s="376"/>
    </row>
    <row r="22" spans="2:4" ht="13.5" thickBot="1" x14ac:dyDescent="0.25">
      <c r="B22" s="380"/>
      <c r="C22" s="381"/>
      <c r="D22" s="382"/>
    </row>
    <row r="23" spans="2:4" ht="13.5" thickBot="1" x14ac:dyDescent="0.25">
      <c r="B23" s="374"/>
      <c r="C23" s="375"/>
      <c r="D23" s="376"/>
    </row>
    <row r="24" spans="2:4" ht="13.5" thickBot="1" x14ac:dyDescent="0.25">
      <c r="B24" s="380"/>
      <c r="C24" s="381"/>
      <c r="D24" s="382"/>
    </row>
    <row r="25" spans="2:4" ht="13.5" thickBot="1" x14ac:dyDescent="0.25">
      <c r="B25" s="374"/>
      <c r="C25" s="375"/>
      <c r="D25" s="376"/>
    </row>
    <row r="26" spans="2:4" ht="13.5" thickBot="1" x14ac:dyDescent="0.25">
      <c r="B26" s="380"/>
      <c r="C26" s="381"/>
      <c r="D26" s="382"/>
    </row>
    <row r="27" spans="2:4" ht="13.5" thickBot="1" x14ac:dyDescent="0.25">
      <c r="B27" s="374"/>
      <c r="C27" s="375"/>
      <c r="D27" s="376"/>
    </row>
    <row r="28" spans="2:4" ht="13.5" thickBot="1" x14ac:dyDescent="0.25">
      <c r="B28" s="380"/>
      <c r="C28" s="381"/>
      <c r="D28" s="382"/>
    </row>
    <row r="29" spans="2:4" ht="13.5" thickBot="1" x14ac:dyDescent="0.25">
      <c r="B29" s="374"/>
      <c r="C29" s="375"/>
      <c r="D29" s="376"/>
    </row>
    <row r="30" spans="2:4" ht="13.5" thickBot="1" x14ac:dyDescent="0.25">
      <c r="B30" s="380"/>
      <c r="C30" s="381"/>
      <c r="D30" s="382"/>
    </row>
    <row r="31" spans="2:4" x14ac:dyDescent="0.2">
      <c r="B31" s="374"/>
      <c r="C31" s="375"/>
      <c r="D31" s="376"/>
    </row>
  </sheetData>
  <mergeCells count="1">
    <mergeCell ref="B1:D1"/>
  </mergeCells>
  <phoneticPr fontId="41" type="noConversion"/>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Accueil</vt:lpstr>
      <vt:lpstr>Mode d'emploi</vt:lpstr>
      <vt:lpstr>Saisie</vt:lpstr>
      <vt:lpstr>Résultats</vt:lpstr>
      <vt:lpstr>Simulation prix carbone</vt:lpstr>
      <vt:lpstr>FAQ</vt:lpstr>
      <vt:lpstr>Calcul Consommation Energie</vt:lpstr>
      <vt:lpstr>Sources des données</vt:lpstr>
      <vt:lpstr>Versions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Delphine</dc:creator>
  <cp:lastModifiedBy>Mathieu Farges</cp:lastModifiedBy>
  <dcterms:created xsi:type="dcterms:W3CDTF">2014-08-23T14:26:30Z</dcterms:created>
  <dcterms:modified xsi:type="dcterms:W3CDTF">2020-11-29T17:28:09Z</dcterms:modified>
</cp:coreProperties>
</file>